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Ex1.xml" ContentType="application/vnd.ms-office.chartex+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Ex2.xml" ContentType="application/vnd.ms-office.chartex+xml"/>
  <Override PartName="/xl/charts/style25.xml" ContentType="application/vnd.ms-office.chartstyle+xml"/>
  <Override PartName="/xl/charts/colors25.xml" ContentType="application/vnd.ms-office.chartcolorstyle+xml"/>
  <Override PartName="/xl/drawings/drawing6.xml" ContentType="application/vnd.openxmlformats-officedocument.drawing+xml"/>
  <Override PartName="/xl/slicers/slicer6.xml" ContentType="application/vnd.ms-excel.slicer+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Ex3.xml" ContentType="application/vnd.ms-office.chartex+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charts/chartEx4.xml" ContentType="application/vnd.ms-office.chartex+xml"/>
  <Override PartName="/xl/charts/style30.xml" ContentType="application/vnd.ms-office.chartstyle+xml"/>
  <Override PartName="/xl/charts/colors30.xml" ContentType="application/vnd.ms-office.chartcolorsty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nila\OneDrive\Documents\2025 Data Analyst\Resume challenge\"/>
    </mc:Choice>
  </mc:AlternateContent>
  <xr:revisionPtr revIDLastSave="0" documentId="13_ncr:1_{657DE2A3-093D-42C5-B8AC-856E81854571}" xr6:coauthVersionLast="47" xr6:coauthVersionMax="47" xr10:uidLastSave="{00000000-0000-0000-0000-000000000000}"/>
  <bookViews>
    <workbookView xWindow="-98" yWindow="-98" windowWidth="21795" windowHeight="12975" tabRatio="860" xr2:uid="{22D40509-6A3B-49A1-8732-01BFF419A624}"/>
  </bookViews>
  <sheets>
    <sheet name="INFO" sheetId="15" r:id="rId1"/>
    <sheet name="Job Card Utilization rate" sheetId="1" r:id="rId2"/>
    <sheet name="JCU RATE DASHBOARD" sheetId="14" r:id="rId3"/>
    <sheet name="Worker Participation" sheetId="2" r:id="rId4"/>
    <sheet name="WP RATE BOARD" sheetId="16" r:id="rId5"/>
    <sheet name="Inclusivity in MGNREGA Employm" sheetId="3" r:id="rId6"/>
    <sheet name="IN RATE BOARD" sheetId="17" r:id="rId7"/>
    <sheet name="Wage Rate" sheetId="6" r:id="rId8"/>
  </sheets>
  <definedNames>
    <definedName name="_xlchart.v1.20" hidden="1">'Inclusivity in MGNREGA Employm'!$B$49:$B$52</definedName>
    <definedName name="_xlchart.v1.21" hidden="1">'Inclusivity in MGNREGA Employm'!$C$48</definedName>
    <definedName name="_xlchart.v1.22" hidden="1">'Inclusivity in MGNREGA Employm'!$C$49:$C$52</definedName>
    <definedName name="_xlchart.v1.5" hidden="1">'Inclusivity in MGNREGA Employm'!$B$49:$B$52</definedName>
    <definedName name="_xlchart.v1.6" hidden="1">'Inclusivity in MGNREGA Employm'!$C$48</definedName>
    <definedName name="_xlchart.v1.7" hidden="1">'Inclusivity in MGNREGA Employm'!$C$49:$C$52</definedName>
    <definedName name="_xlchart.v5.0" hidden="1">'Inclusivity in MGNREGA Employm'!$G$3</definedName>
    <definedName name="_xlchart.v5.1" hidden="1">'Inclusivity in MGNREGA Employm'!$G$4:$G$37</definedName>
    <definedName name="_xlchart.v5.10" hidden="1">'Inclusivity in MGNREGA Employm'!$H$3</definedName>
    <definedName name="_xlchart.v5.11" hidden="1">'Inclusivity in MGNREGA Employm'!$H$4:$H$37</definedName>
    <definedName name="_xlchart.v5.12" hidden="1">'Inclusivity in MGNREGA Employm'!$G$3</definedName>
    <definedName name="_xlchart.v5.13" hidden="1">'Inclusivity in MGNREGA Employm'!$G$4:$G$37</definedName>
    <definedName name="_xlchart.v5.14" hidden="1">'Inclusivity in MGNREGA Employm'!$H$3</definedName>
    <definedName name="_xlchart.v5.15" hidden="1">'Inclusivity in MGNREGA Employm'!$H$4:$H$37</definedName>
    <definedName name="_xlchart.v5.16" hidden="1">'Inclusivity in MGNREGA Employm'!$G$3</definedName>
    <definedName name="_xlchart.v5.17" hidden="1">'Inclusivity in MGNREGA Employm'!$G$4:$G$37</definedName>
    <definedName name="_xlchart.v5.18" hidden="1">'Inclusivity in MGNREGA Employm'!$H$3</definedName>
    <definedName name="_xlchart.v5.19" hidden="1">'Inclusivity in MGNREGA Employm'!$H$4:$H$37</definedName>
    <definedName name="_xlchart.v5.2" hidden="1">'Inclusivity in MGNREGA Employm'!$H$2</definedName>
    <definedName name="_xlchart.v5.3" hidden="1">'Inclusivity in MGNREGA Employm'!$H$3</definedName>
    <definedName name="_xlchart.v5.4" hidden="1">'Inclusivity in MGNREGA Employm'!$H$4:$H$37</definedName>
    <definedName name="_xlchart.v5.8" hidden="1">'Inclusivity in MGNREGA Employm'!$G$3</definedName>
    <definedName name="_xlchart.v5.9" hidden="1">'Inclusivity in MGNREGA Employm'!$G$4:$G$37</definedName>
    <definedName name="Slicer_state_name">#N/A</definedName>
    <definedName name="Slicer_state_name1">#N/A</definedName>
    <definedName name="Slicer_state_name2">#N/A</definedName>
  </definedNames>
  <calcPr calcId="191029"/>
  <pivotCaches>
    <pivotCache cacheId="1357" r:id="rId9"/>
    <pivotCache cacheId="1359" r:id="rId10"/>
    <pivotCache cacheId="1361" r:id="rId11"/>
    <pivotCache cacheId="1362" r:id="rId12"/>
    <pivotCache cacheId="1363" r:id="rId13"/>
    <pivotCache cacheId="1364" r:id="rId14"/>
    <pivotCache cacheId="1369" r:id="rId15"/>
    <pivotCache cacheId="1721" r:id="rId16"/>
    <pivotCache cacheId="1724" r:id="rId17"/>
    <pivotCache cacheId="1727" r:id="rId18"/>
    <pivotCache cacheId="1730" r:id="rId19"/>
    <pivotCache cacheId="1733" r:id="rId20"/>
    <pivotCache cacheId="1736" r:id="rId21"/>
    <pivotCache cacheId="1739" r:id="rId22"/>
    <pivotCache cacheId="1742" r:id="rId23"/>
    <pivotCache cacheId="1835" r:id="rId24"/>
    <pivotCache cacheId="1838" r:id="rId25"/>
  </pivotCaches>
  <extLst>
    <ext xmlns:x14="http://schemas.microsoft.com/office/spreadsheetml/2009/9/main" uri="{876F7934-8845-4945-9796-88D515C7AA90}">
      <x14:pivotCaches>
        <pivotCache cacheId="1273" r:id="rId26"/>
        <pivotCache cacheId="1304" r:id="rId27"/>
        <pivotCache cacheId="1323" r:id="rId28"/>
      </x14:pivotCaches>
    </ext>
    <ext xmlns:x14="http://schemas.microsoft.com/office/spreadsheetml/2009/9/main" uri="{BBE1A952-AA13-448e-AADC-164F8A28A991}">
      <x14:slicerCaches>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GNREGA_8c2802d1-cc86-4521-86a2-5d429c56f6b2" name="MGNREGA" connection="Query - MGNREGA"/>
          <x15:modelTable id="AVERAGE WAGE RATE_edf01391-db40-4d88-a98d-739bf701b4f8" name="AVERAGE WAGE RATE" connection="Query - AVERAGE WAGE RATE"/>
          <x15:modelTable id="avg_wage_paid  2_6c51209f-50d3-41ff-b2ee-1bdaa6b6639c" name="avg_wage_paid  2" connection="Query - avg_wage_paid (2)"/>
          <x15:modelTable id="avg_wage_paid  3_80057cc9-fb59-4107-b4f5-b72ad226955f" name="avg_wage_paid  3" connection="Query - avg_wage_paid (3)"/>
          <x15:modelTable id="Inflation_e7e03186-0f9a-4dd8-8731-59140d32a74a" name="Inflation" connection="Query - Inflation"/>
          <x15:modelTable id="MGNREGA SC ST WOMEN PERSONDAYS_0ea2287f-85d6-4dd4-85ac-207a87011db9" name="MGNREGA SC ST WOMEN PERSONDAYS" connection="Query - MGNREGA SC ST WOMEN PERSONDAY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3" l="1"/>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Q41" i="3"/>
  <c r="N41" i="3"/>
  <c r="I52" i="3"/>
  <c r="J41" i="3"/>
  <c r="C52" i="3"/>
  <c r="C51" i="3"/>
  <c r="C50" i="3"/>
  <c r="C49" i="3"/>
  <c r="D50" i="3" l="1"/>
  <c r="D51" i="3"/>
  <c r="D52" i="3"/>
  <c r="J42" i="3"/>
  <c r="N42" i="3"/>
  <c r="M111" i="1"/>
  <c r="I75" i="1"/>
  <c r="I67" i="1"/>
  <c r="I71" i="1"/>
  <c r="I59" i="1"/>
  <c r="I63" i="1"/>
  <c r="J69" i="1"/>
  <c r="I55" i="1"/>
  <c r="J61" i="1"/>
  <c r="J65" i="1"/>
  <c r="J53" i="1"/>
  <c r="J57" i="1"/>
  <c r="I48" i="1"/>
  <c r="J49" i="1"/>
  <c r="M113" i="1"/>
  <c r="I52" i="1"/>
  <c r="M105" i="1"/>
  <c r="E81" i="1"/>
  <c r="M109" i="1"/>
  <c r="M101" i="1"/>
  <c r="M93" i="1"/>
  <c r="N114" i="1"/>
  <c r="N106" i="1"/>
  <c r="N102" i="1"/>
  <c r="C89" i="1"/>
  <c r="J74" i="1"/>
  <c r="I58" i="1"/>
  <c r="J68" i="1"/>
  <c r="J64" i="1"/>
  <c r="I49" i="1"/>
  <c r="M112" i="1"/>
  <c r="M92" i="1"/>
  <c r="N109" i="1"/>
  <c r="N93" i="1"/>
  <c r="N85" i="1"/>
  <c r="I72" i="1"/>
  <c r="I65" i="1"/>
  <c r="I53" i="1"/>
  <c r="J63" i="1"/>
  <c r="I47" i="1"/>
  <c r="I50" i="1"/>
  <c r="M107" i="1"/>
  <c r="C86" i="1"/>
  <c r="I81" i="1"/>
  <c r="M98" i="1"/>
  <c r="M87" i="1"/>
  <c r="M91" i="1"/>
  <c r="N112" i="1"/>
  <c r="N116" i="1"/>
  <c r="N104" i="1"/>
  <c r="N108" i="1"/>
  <c r="N96" i="1"/>
  <c r="N100" i="1"/>
  <c r="N88" i="1"/>
  <c r="N92" i="1"/>
  <c r="J75" i="1"/>
  <c r="M85" i="1"/>
  <c r="J71" i="1"/>
  <c r="J73" i="1"/>
  <c r="I64" i="1"/>
  <c r="N111" i="1"/>
  <c r="N91" i="1"/>
  <c r="C90" i="1"/>
  <c r="M89" i="1"/>
  <c r="N118" i="1"/>
  <c r="N110" i="1"/>
  <c r="N90" i="1"/>
  <c r="N94" i="1"/>
  <c r="J72" i="1"/>
  <c r="C81" i="1"/>
  <c r="I70" i="1"/>
  <c r="I62" i="1"/>
  <c r="J60" i="1"/>
  <c r="J52" i="1"/>
  <c r="J48" i="1"/>
  <c r="M104" i="1"/>
  <c r="M100" i="1"/>
  <c r="M88" i="1"/>
  <c r="N113" i="1"/>
  <c r="N105" i="1"/>
  <c r="N101" i="1"/>
  <c r="N89" i="1"/>
  <c r="C85" i="1"/>
  <c r="I69" i="1"/>
  <c r="I57" i="1"/>
  <c r="J59" i="1"/>
  <c r="J51" i="1"/>
  <c r="M103" i="1"/>
  <c r="M118" i="1"/>
  <c r="I68" i="1"/>
  <c r="I56" i="1"/>
  <c r="I60" i="1"/>
  <c r="J66" i="1"/>
  <c r="J70" i="1"/>
  <c r="J58" i="1"/>
  <c r="J62" i="1"/>
  <c r="J50" i="1"/>
  <c r="J54" i="1"/>
  <c r="I51" i="1"/>
  <c r="J47" i="1"/>
  <c r="M117" i="1"/>
  <c r="M114" i="1"/>
  <c r="M116" i="1"/>
  <c r="M106" i="1"/>
  <c r="M110" i="1"/>
  <c r="M99" i="1"/>
  <c r="M102" i="1"/>
  <c r="M90" i="1"/>
  <c r="M94" i="1"/>
  <c r="N115" i="1"/>
  <c r="M86" i="1"/>
  <c r="N107" i="1"/>
  <c r="N99" i="1"/>
  <c r="N103" i="1"/>
  <c r="N95" i="1"/>
  <c r="N87" i="1"/>
  <c r="I73" i="1"/>
  <c r="M97" i="1"/>
  <c r="N98" i="1"/>
  <c r="N86" i="1"/>
  <c r="I66" i="1"/>
  <c r="I54" i="1"/>
  <c r="J56" i="1"/>
  <c r="M108" i="1"/>
  <c r="A81" i="1"/>
  <c r="M96" i="1"/>
  <c r="N117" i="1"/>
  <c r="N97" i="1"/>
  <c r="I74" i="1"/>
  <c r="I61" i="1"/>
  <c r="J67" i="1"/>
  <c r="J55" i="1"/>
  <c r="M115" i="1"/>
  <c r="M95" i="1"/>
  <c r="O41" i="3" l="1"/>
  <c r="K41" i="3"/>
  <c r="D85" i="1"/>
  <c r="D89" i="1"/>
  <c r="I45" i="1"/>
  <c r="J42" i="1"/>
  <c r="I46" i="1"/>
  <c r="J46" i="1"/>
  <c r="J43" i="1"/>
  <c r="I42" i="1"/>
  <c r="I43" i="1"/>
  <c r="I44" i="1"/>
  <c r="J44" i="1"/>
  <c r="J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40935D-6CC1-4C37-AD37-E264FE420FE8}" name="Query - AVERAGE WAGE RATE" description="Connection to the 'AVERAGE WAGE RATE' query in the workbook." type="100" refreshedVersion="8" minRefreshableVersion="5">
    <extLst>
      <ext xmlns:x15="http://schemas.microsoft.com/office/spreadsheetml/2010/11/main" uri="{DE250136-89BD-433C-8126-D09CA5730AF9}">
        <x15:connection id="75d8b3bc-96ae-48dc-84e4-d753ee22dc48">
          <x15:oledbPr connection="Provider=Microsoft.Mashup.OleDb.1;Data Source=$Workbook$;Location=&quot;AVERAGE WAGE RATE&quot;;Extended Properties=&quot;&quot;">
            <x15:dbTables>
              <x15:dbTable name="AVERAGE WAGE RATE"/>
            </x15:dbTables>
          </x15:oledbPr>
        </x15:connection>
      </ext>
    </extLst>
  </connection>
  <connection id="2" xr16:uid="{74BCE122-91C0-4856-A8A6-28EE804C0CEB}" name="Query - avg_wage_paid (2)" description="Connection to the 'avg_wage_paid (2)' query in the workbook." type="100" refreshedVersion="8" minRefreshableVersion="5">
    <extLst>
      <ext xmlns:x15="http://schemas.microsoft.com/office/spreadsheetml/2010/11/main" uri="{DE250136-89BD-433C-8126-D09CA5730AF9}">
        <x15:connection id="53f0d168-0224-4609-9210-29198c0aeaa5">
          <x15:oledbPr connection="Provider=Microsoft.Mashup.OleDb.1;Data Source=$Workbook$;Location=&quot;avg_wage_paid (2)&quot;;Extended Properties=&quot;&quot;">
            <x15:dbTables>
              <x15:dbTable name="avg_wage_paid (2)"/>
            </x15:dbTables>
          </x15:oledbPr>
        </x15:connection>
      </ext>
    </extLst>
  </connection>
  <connection id="3" xr16:uid="{77FD3FB6-9C32-41DD-BC19-589CE07E57ED}" name="Query - avg_wage_paid (3)" description="Connection to the 'avg_wage_paid (3)' query in the workbook." type="100" refreshedVersion="8" minRefreshableVersion="5">
    <extLst>
      <ext xmlns:x15="http://schemas.microsoft.com/office/spreadsheetml/2010/11/main" uri="{DE250136-89BD-433C-8126-D09CA5730AF9}">
        <x15:connection id="c23129de-5584-4c1f-8106-c79de50edde4">
          <x15:oledbPr connection="Provider=Microsoft.Mashup.OleDb.1;Data Source=$Workbook$;Location=&quot;avg_wage_paid (3)&quot;;Extended Properties=&quot;&quot;">
            <x15:dbTables>
              <x15:dbTable name="avg_wage_paid (3)"/>
            </x15:dbTables>
          </x15:oledbPr>
        </x15:connection>
      </ext>
    </extLst>
  </connection>
  <connection id="4" xr16:uid="{C904167E-094D-4F1D-B431-5470E9078C5D}" name="Query - Inflation" description="Connection to the 'Inflation' query in the workbook." type="100" refreshedVersion="8" minRefreshableVersion="5">
    <extLst>
      <ext xmlns:x15="http://schemas.microsoft.com/office/spreadsheetml/2010/11/main" uri="{DE250136-89BD-433C-8126-D09CA5730AF9}">
        <x15:connection id="32f9d6f6-5098-48df-bbfb-9e3681a9d6f2">
          <x15:oledbPr connection="Provider=Microsoft.Mashup.OleDb.1;Data Source=$Workbook$;Location=Inflation;Extended Properties=&quot;&quot;">
            <x15:dbTables>
              <x15:dbTable name="Inflation"/>
            </x15:dbTables>
          </x15:oledbPr>
        </x15:connection>
      </ext>
    </extLst>
  </connection>
  <connection id="5" xr16:uid="{5153D3CD-6CC0-47A0-BB88-EDF7CAB0C7D7}" name="Query - MGNREGA" description="Connection to the 'MGNREGA' query in the workbook." type="100" refreshedVersion="8" minRefreshableVersion="5">
    <extLst>
      <ext xmlns:x15="http://schemas.microsoft.com/office/spreadsheetml/2010/11/main" uri="{DE250136-89BD-433C-8126-D09CA5730AF9}">
        <x15:connection id="d455f52a-355e-46d2-8222-c8118a913b13"/>
      </ext>
    </extLst>
  </connection>
  <connection id="6" xr16:uid="{C20449EF-89AC-4E11-B4D1-95FB736F7608}" keepAlive="1" name="Query - MGNREGA (2)" description="Connection to the 'MGNREGA (2)' query in the workbook." type="5" refreshedVersion="8" background="1" saveData="1">
    <dbPr connection="Provider=Microsoft.Mashup.OleDb.1;Data Source=$Workbook$;Location=&quot;MGNREGA (2)&quot;;Extended Properties=&quot;&quot;" command="SELECT * FROM [MGNREGA (2)]"/>
  </connection>
  <connection id="7" xr16:uid="{370E69E8-DCFF-427A-B1BE-C3D8D5FA234D}" keepAlive="1" name="Query - MGNREGA PERSONDAYS" description="Connection to the 'MGNREGA PERSONDAYS' query in the workbook." type="5" refreshedVersion="8" background="1" saveData="1">
    <dbPr connection="Provider=Microsoft.Mashup.OleDb.1;Data Source=$Workbook$;Location=&quot;MGNREGA PERSONDAYS&quot;;Extended Properties=&quot;&quot;" command="SELECT * FROM [MGNREGA PERSONDAYS]"/>
  </connection>
  <connection id="8" xr16:uid="{5A176722-BA68-47F4-87B8-64221DC414F4}" name="Query - MGNREGA SC ST WOMEN PERSONDAYS" description="Connection to the 'MGNREGA SC ST WOMEN PERSONDAYS' query in the workbook." type="100" refreshedVersion="8" minRefreshableVersion="5">
    <extLst>
      <ext xmlns:x15="http://schemas.microsoft.com/office/spreadsheetml/2010/11/main" uri="{DE250136-89BD-433C-8126-D09CA5730AF9}">
        <x15:connection id="7a5a4509-9fe5-4533-a8bd-5509303a6295"/>
      </ext>
    </extLst>
  </connection>
  <connection id="9" xr16:uid="{8EDE3031-9B1A-483F-AB5E-59172FD991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<sst xmlns="http://schemas.openxmlformats.org/spreadsheetml/2006/main" count="401" uniqueCount="111">
  <si>
    <t>Row Labels</t>
  </si>
  <si>
    <t>ANDAMAN AND NICOBAR</t>
  </si>
  <si>
    <t>ANDHRA PRADESH</t>
  </si>
  <si>
    <t>ARUNACHAL PRADESH</t>
  </si>
  <si>
    <t>ASSAM</t>
  </si>
  <si>
    <t>BIHAR</t>
  </si>
  <si>
    <t>CHHATTISGARH</t>
  </si>
  <si>
    <t>DN HAVELI AND DD</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</si>
  <si>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</si>
  <si>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</si>
  <si>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</si>
  <si>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</si>
  <si>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</si>
  <si>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</si>
  <si>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</si>
  <si>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</si>
  <si>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</si>
  <si>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</si>
  <si>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</si>
  <si>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</si>
  <si>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</si>
  <si>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</si>
  <si>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</si>
  <si>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</si>
  <si>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</si>
  <si>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</si>
  <si>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</si>
  <si>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</si>
  <si>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</si>
  <si>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</si>
  <si>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</si>
  <si>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</si>
  <si>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</si>
  <si>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</si>
  <si>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</si>
  <si>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Grand Total</t>
  </si>
  <si>
    <t>No. of JobCards issued</t>
  </si>
  <si>
    <t>Active Job Cards</t>
  </si>
  <si>
    <t>Average of Job Card Utilization</t>
  </si>
  <si>
    <t>Worker Participation Rate</t>
  </si>
  <si>
    <t>Sum of Total No. of Active Workers</t>
  </si>
  <si>
    <t>State</t>
  </si>
  <si>
    <t>FY 2021-2022</t>
  </si>
  <si>
    <t>FY 2022-2023</t>
  </si>
  <si>
    <t>FY 2023-2024</t>
  </si>
  <si>
    <t>Sum of Value</t>
  </si>
  <si>
    <t>Column Labels</t>
  </si>
  <si>
    <t>inflation (CPI %)</t>
  </si>
  <si>
    <t>Persondays of Central Liability so far</t>
  </si>
  <si>
    <t>SC persondays</t>
  </si>
  <si>
    <t>ST persondays</t>
  </si>
  <si>
    <t>Women Persondays</t>
  </si>
  <si>
    <t>Sum of Total No. of JobCards issued</t>
  </si>
  <si>
    <t>States</t>
  </si>
  <si>
    <t>Sum of Total No. of Active Job Cards</t>
  </si>
  <si>
    <t>Bubble size</t>
  </si>
  <si>
    <t>No.of Active Job cards</t>
  </si>
  <si>
    <t>No.of JobCards issued</t>
  </si>
  <si>
    <t>No.of Active JobCards</t>
  </si>
  <si>
    <t>Sum of Total No. of Workers</t>
  </si>
  <si>
    <t>Perecentage of Active JobCards</t>
  </si>
  <si>
    <t>Active JobCards</t>
  </si>
  <si>
    <t>JobCards Issued</t>
  </si>
  <si>
    <t>Percentage of Active Workers</t>
  </si>
  <si>
    <t>Active Workers</t>
  </si>
  <si>
    <t>Total Workers</t>
  </si>
  <si>
    <t>Job Card Utilization rate</t>
  </si>
  <si>
    <t>Jobcards issued</t>
  </si>
  <si>
    <t>Unveiling Insights: MGNREGA Job Card Utilization Dashboard</t>
  </si>
  <si>
    <t>The Mahatma Gandhi National Rural Employment Guarantee Act (MGNREGA) is one of India’s largest social welfare programs, aimed at providing 100 days of guaranteed wage employment to rural households. It plays a crucial role in reducing rural distress, enhancing livelihood security, and promoting economic inclusion.</t>
  </si>
  <si>
    <t>To better understand its impact, I built an interactive dashboard that highlights key trends in job card utilization and worker participation.</t>
  </si>
  <si>
    <t>Dashboard includes:</t>
  </si>
  <si>
    <t>1. State-wise Job Card Utilization &amp; Worker Participation</t>
  </si>
  <si>
    <t>2. Comparison of Active vs. Issued Job Cards &amp; Workers</t>
  </si>
  <si>
    <t>3. Top 5 and Bottom 5 States in Job Card Utilization</t>
  </si>
  <si>
    <t>MGNREGA serves as a lifeline for millions of rural families, but its effectiveness varies across regions. This dashboard helps uncover key disparities and trends, enabling policymakers and analysts to target interventions more effectively.</t>
  </si>
  <si>
    <t>Next Step:</t>
  </si>
  <si>
    <t>Would create more similar type of interactive dashboards for SC, ST, Women participation rate, inclusivity of the scheme, employment duration and wage rate vs inflation.</t>
  </si>
  <si>
    <r>
      <t>#DataAnalytics</t>
    </r>
    <r>
      <rPr>
        <sz val="8"/>
        <color theme="1"/>
        <rFont val="Segoe UI"/>
        <family val="2"/>
      </rPr>
      <t xml:space="preserve"> </t>
    </r>
    <r>
      <rPr>
        <b/>
        <sz val="8"/>
        <color theme="1"/>
        <rFont val="Calibri"/>
        <family val="2"/>
        <scheme val="minor"/>
      </rPr>
      <t>#ExcelDashboard</t>
    </r>
    <r>
      <rPr>
        <sz val="8"/>
        <color theme="1"/>
        <rFont val="Segoe UI"/>
        <family val="2"/>
      </rPr>
      <t xml:space="preserve"> </t>
    </r>
    <r>
      <rPr>
        <b/>
        <sz val="8"/>
        <color theme="1"/>
        <rFont val="Calibri"/>
        <family val="2"/>
        <scheme val="minor"/>
      </rPr>
      <t>#MGNREGA</t>
    </r>
    <r>
      <rPr>
        <sz val="8"/>
        <color theme="1"/>
        <rFont val="Segoe UI"/>
        <family val="2"/>
      </rPr>
      <t xml:space="preserve"> </t>
    </r>
    <r>
      <rPr>
        <b/>
        <sz val="8"/>
        <color theme="1"/>
        <rFont val="Calibri"/>
        <family val="2"/>
        <scheme val="minor"/>
      </rPr>
      <t>#RuralEmployment</t>
    </r>
    <r>
      <rPr>
        <sz val="8"/>
        <color theme="1"/>
        <rFont val="Segoe UI"/>
        <family val="2"/>
      </rPr>
      <t xml:space="preserve"> </t>
    </r>
    <r>
      <rPr>
        <b/>
        <sz val="8"/>
        <color theme="1"/>
        <rFont val="Calibri"/>
        <family val="2"/>
        <scheme val="minor"/>
      </rPr>
      <t>#DataVisualization</t>
    </r>
    <r>
      <rPr>
        <sz val="8"/>
        <color theme="1"/>
        <rFont val="Segoe UI"/>
        <family val="2"/>
      </rPr>
      <t xml:space="preserve"> </t>
    </r>
    <r>
      <rPr>
        <b/>
        <sz val="8"/>
        <color theme="1"/>
        <rFont val="Calibri"/>
        <family val="2"/>
        <scheme val="minor"/>
      </rPr>
      <t>#PublicPolicy</t>
    </r>
  </si>
  <si>
    <t>Key Insights We Can Derive:</t>
  </si>
  <si>
    <t>1️⃣ Employment Effectiveness</t>
  </si>
  <si>
    <r>
      <t xml:space="preserve">✅ </t>
    </r>
    <r>
      <rPr>
        <b/>
        <sz val="12"/>
        <color theme="1"/>
        <rFont val="Poppins"/>
        <family val="2"/>
      </rPr>
      <t>Employment Duration</t>
    </r>
    <r>
      <rPr>
        <sz val="12"/>
        <color theme="1"/>
        <rFont val="Poppins"/>
        <family val="2"/>
      </rPr>
      <t xml:space="preserve"> – Check </t>
    </r>
    <r>
      <rPr>
        <b/>
        <sz val="12"/>
        <color theme="1"/>
        <rFont val="Poppins"/>
        <family val="2"/>
      </rPr>
      <t>Avg. Days of Employment per Household</t>
    </r>
    <r>
      <rPr>
        <sz val="12"/>
        <color theme="1"/>
        <rFont val="Poppins"/>
        <family val="2"/>
      </rPr>
      <t>.</t>
    </r>
  </si>
  <si>
    <r>
      <t xml:space="preserve">✅ </t>
    </r>
    <r>
      <rPr>
        <b/>
        <sz val="12"/>
        <color theme="1"/>
        <rFont val="Poppins"/>
        <family val="2"/>
      </rPr>
      <t>Wage Impact</t>
    </r>
    <r>
      <rPr>
        <sz val="12"/>
        <color theme="1"/>
        <rFont val="Poppins"/>
        <family val="2"/>
      </rPr>
      <t xml:space="preserve"> – Compare </t>
    </r>
    <r>
      <rPr>
        <b/>
        <sz val="12"/>
        <color theme="1"/>
        <rFont val="Poppins"/>
        <family val="2"/>
      </rPr>
      <t>Wage Rate Trends vs. Inflation</t>
    </r>
    <r>
      <rPr>
        <sz val="12"/>
        <color theme="1"/>
        <rFont val="Poppins"/>
        <family val="2"/>
      </rPr>
      <t>.</t>
    </r>
  </si>
  <si>
    <t>2️⃣ Financial Efficiency</t>
  </si>
  <si>
    <r>
      <t xml:space="preserve">✅ </t>
    </r>
    <r>
      <rPr>
        <b/>
        <sz val="12"/>
        <color theme="1"/>
        <rFont val="Poppins"/>
        <family val="2"/>
      </rPr>
      <t>Budget Utilization</t>
    </r>
    <r>
      <rPr>
        <sz val="12"/>
        <color theme="1"/>
        <rFont val="Poppins"/>
        <family val="2"/>
      </rPr>
      <t xml:space="preserve"> – Compare </t>
    </r>
    <r>
      <rPr>
        <b/>
        <sz val="12"/>
        <color theme="1"/>
        <rFont val="Poppins"/>
        <family val="2"/>
      </rPr>
      <t>Approved Labour Budget vs. Actual Expenditure</t>
    </r>
    <r>
      <rPr>
        <sz val="12"/>
        <color theme="1"/>
        <rFont val="Poppins"/>
        <family val="2"/>
      </rPr>
      <t>.</t>
    </r>
  </si>
  <si>
    <r>
      <t xml:space="preserve">✅ </t>
    </r>
    <r>
      <rPr>
        <b/>
        <sz val="12"/>
        <color theme="1"/>
        <rFont val="Poppins"/>
        <family val="2"/>
      </rPr>
      <t>Wage vs. Material Costs</t>
    </r>
    <r>
      <rPr>
        <sz val="12"/>
        <color theme="1"/>
        <rFont val="Poppins"/>
        <family val="2"/>
      </rPr>
      <t xml:space="preserve"> – Analyze % of funds spent on wages vs. materials.</t>
    </r>
  </si>
  <si>
    <r>
      <t xml:space="preserve">✅ </t>
    </r>
    <r>
      <rPr>
        <b/>
        <sz val="12"/>
        <color theme="1"/>
        <rFont val="Poppins"/>
        <family val="2"/>
      </rPr>
      <t>State-wise Comparison</t>
    </r>
    <r>
      <rPr>
        <sz val="12"/>
        <color theme="1"/>
        <rFont val="Poppins"/>
        <family val="2"/>
      </rPr>
      <t xml:space="preserve"> – Which states are efficiently using their budget?</t>
    </r>
  </si>
  <si>
    <t>3️⃣ Work Progress &amp; Output</t>
  </si>
  <si>
    <r>
      <t xml:space="preserve">✅ </t>
    </r>
    <r>
      <rPr>
        <b/>
        <sz val="12"/>
        <color theme="1"/>
        <rFont val="Poppins"/>
        <family val="2"/>
      </rPr>
      <t>Work Completion Rate</t>
    </r>
    <r>
      <rPr>
        <sz val="12"/>
        <color theme="1"/>
        <rFont val="Poppins"/>
        <family val="2"/>
      </rPr>
      <t xml:space="preserve"> – Compare </t>
    </r>
    <r>
      <rPr>
        <b/>
        <sz val="12"/>
        <color theme="1"/>
        <rFont val="Poppins"/>
        <family val="2"/>
      </rPr>
      <t>Total Works Taken Up vs. Completed Works</t>
    </r>
    <r>
      <rPr>
        <sz val="12"/>
        <color theme="1"/>
        <rFont val="Poppins"/>
        <family val="2"/>
      </rPr>
      <t>.</t>
    </r>
  </si>
  <si>
    <r>
      <t xml:space="preserve">✅ </t>
    </r>
    <r>
      <rPr>
        <b/>
        <sz val="12"/>
        <color theme="1"/>
        <rFont val="Poppins"/>
        <family val="2"/>
      </rPr>
      <t>Zero-Expenditure GPs</t>
    </r>
    <r>
      <rPr>
        <sz val="12"/>
        <color theme="1"/>
        <rFont val="Poppins"/>
        <family val="2"/>
      </rPr>
      <t xml:space="preserve"> – Identify areas where no work has been done.</t>
    </r>
  </si>
  <si>
    <r>
      <t xml:space="preserve">✅ </t>
    </r>
    <r>
      <rPr>
        <b/>
        <sz val="12"/>
        <color theme="1"/>
        <rFont val="Poppins"/>
        <family val="2"/>
      </rPr>
      <t>Agriculture &amp; NRM Spending</t>
    </r>
    <r>
      <rPr>
        <sz val="12"/>
        <color theme="1"/>
        <rFont val="Poppins"/>
        <family val="2"/>
      </rPr>
      <t xml:space="preserve"> – Analyze investment in sustainable rural development.</t>
    </r>
  </si>
  <si>
    <r>
      <rPr>
        <sz val="12"/>
        <color theme="9"/>
        <rFont val="Poppins"/>
      </rPr>
      <t>✅</t>
    </r>
    <r>
      <rPr>
        <sz val="12"/>
        <color theme="1"/>
        <rFont val="Poppins"/>
        <family val="2"/>
      </rPr>
      <t xml:space="preserve"> </t>
    </r>
    <r>
      <rPr>
        <b/>
        <sz val="12"/>
        <color theme="9"/>
        <rFont val="Poppins"/>
      </rPr>
      <t>Job Card Utilization</t>
    </r>
    <r>
      <rPr>
        <sz val="12"/>
        <color theme="9"/>
        <rFont val="Poppins"/>
      </rPr>
      <t xml:space="preserve"> – Compare </t>
    </r>
    <r>
      <rPr>
        <b/>
        <sz val="12"/>
        <color theme="9"/>
        <rFont val="Poppins"/>
      </rPr>
      <t>Total Job Cards issued vs. Active Job Cards</t>
    </r>
    <r>
      <rPr>
        <sz val="12"/>
        <color theme="9"/>
        <rFont val="Poppins"/>
      </rPr>
      <t>.</t>
    </r>
  </si>
  <si>
    <r>
      <rPr>
        <sz val="12"/>
        <color theme="9"/>
        <rFont val="Poppins"/>
      </rPr>
      <t xml:space="preserve">✅ </t>
    </r>
    <r>
      <rPr>
        <b/>
        <sz val="12"/>
        <color theme="9"/>
        <rFont val="Poppins"/>
      </rPr>
      <t>Worker Participation</t>
    </r>
    <r>
      <rPr>
        <sz val="12"/>
        <color theme="9"/>
        <rFont val="Poppins"/>
      </rPr>
      <t xml:space="preserve"> – Compare </t>
    </r>
    <r>
      <rPr>
        <b/>
        <sz val="12"/>
        <color theme="9"/>
        <rFont val="Poppins"/>
      </rPr>
      <t>Total Workers vs. Active Workers</t>
    </r>
    <r>
      <rPr>
        <sz val="12"/>
        <color theme="9"/>
        <rFont val="Poppins"/>
      </rPr>
      <t>.</t>
    </r>
  </si>
  <si>
    <t>Sum of SC workers against active workers</t>
  </si>
  <si>
    <t>% of SC WORKERS</t>
  </si>
  <si>
    <t>SC workers</t>
  </si>
  <si>
    <t>Active workers</t>
  </si>
  <si>
    <t>Sum of ST workers against active workers</t>
  </si>
  <si>
    <t>% of ST WORKERS</t>
  </si>
  <si>
    <t>ST WORKERS</t>
  </si>
  <si>
    <t>ACTIVE WORKERS</t>
  </si>
  <si>
    <t>Total Persondays</t>
  </si>
  <si>
    <t>PERSONDAYS</t>
  </si>
  <si>
    <t>SC</t>
  </si>
  <si>
    <t>ST</t>
  </si>
  <si>
    <t>WOMEN</t>
  </si>
  <si>
    <t>Category</t>
  </si>
  <si>
    <t>Total Active Workers</t>
  </si>
  <si>
    <t>Sum of Total Persondays</t>
  </si>
  <si>
    <t>Percentage</t>
  </si>
  <si>
    <r>
      <rPr>
        <sz val="12"/>
        <color theme="9" tint="-0.249977111117893"/>
        <rFont val="Poppins"/>
      </rPr>
      <t xml:space="preserve">✅ </t>
    </r>
    <r>
      <rPr>
        <b/>
        <sz val="12"/>
        <color theme="9" tint="-0.249977111117893"/>
        <rFont val="Poppins"/>
      </rPr>
      <t>Inclusivity Analysis</t>
    </r>
    <r>
      <rPr>
        <sz val="12"/>
        <color theme="9" tint="-0.249977111117893"/>
        <rFont val="Poppins"/>
      </rPr>
      <t xml:space="preserve"> – Analyze SC/ST/Women participation in employment.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</si>
</sst>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9" formatCode="_ * #,##0_ ;_ * \-#,##0_ ;_ * &quot;-&quot;??_ ;_ @_ "/>
  </numFmts>
  <fonts count="17" x14ac:knownFonts="1">
    <font>
      <sz val="12"/>
      <color theme="1"/>
      <name val="Poppins"/>
      <family val="2"/>
    </font>
    <font>
      <sz val="12"/>
      <color theme="1"/>
      <name val="Avenir Next LT Pro"/>
      <family val="2"/>
    </font>
    <font>
      <sz val="12"/>
      <color theme="1"/>
      <name val="Poppins"/>
      <family val="2"/>
    </font>
    <font>
      <sz val="12"/>
      <name val="Poppins"/>
      <family val="2"/>
    </font>
    <font>
      <sz val="12"/>
      <color theme="1"/>
      <name val="Avenir Next LT Pro"/>
    </font>
    <font>
      <sz val="12"/>
      <color theme="1"/>
      <name val="Verdana"/>
      <family val="2"/>
    </font>
    <font>
      <b/>
      <sz val="12"/>
      <color theme="1"/>
      <name val="Verdana"/>
      <family val="2"/>
    </font>
    <font>
      <sz val="8"/>
      <color theme="1"/>
      <name val="Segoe UI"/>
      <family val="2"/>
    </font>
    <font>
      <b/>
      <sz val="8"/>
      <color theme="1"/>
      <name val="Calibri"/>
      <family val="2"/>
      <scheme val="minor"/>
    </font>
    <font>
      <b/>
      <sz val="12"/>
      <color theme="1"/>
      <name val="Poppins"/>
      <family val="2"/>
    </font>
    <font>
      <b/>
      <sz val="13.5"/>
      <color theme="1"/>
      <name val="Poppins"/>
      <family val="2"/>
    </font>
    <font>
      <sz val="12"/>
      <color theme="9"/>
      <name val="Poppins"/>
    </font>
    <font>
      <sz val="12"/>
      <color theme="1"/>
      <name val="Poppins"/>
    </font>
    <font>
      <b/>
      <sz val="12"/>
      <color theme="9"/>
      <name val="Poppins"/>
    </font>
    <font>
      <sz val="12"/>
      <color theme="1"/>
      <name val="Arial"/>
      <family val="2"/>
    </font>
    <font>
      <sz val="12"/>
      <color theme="9" tint="-0.249977111117893"/>
      <name val="Poppins"/>
    </font>
    <font>
      <b/>
      <sz val="12"/>
      <color theme="9" tint="-0.249977111117893"/>
      <name val="Poppins"/>
    </font>
  </fonts>
  <fills count="7">
    <fill>
      <patternFill patternType="none"/>
    </fill>
    <fill>
      <patternFill patternType="gray125"/>
    </fill>
    <fill>
      <patternFill patternType="solid">
        <fgColor theme="7" tint="-0.249977111117893"/>
        <bgColor indexed="64"/>
      </patternFill>
    </fill>
    <fill>
      <patternFill patternType="solid">
        <fgColor theme="7" tint="0.79998168889431442"/>
        <bgColor indexed="64"/>
      </patternFill>
    </fill>
    <fill>
      <patternFill patternType="solid">
        <fgColor theme="2" tint="-0.749992370372631"/>
        <bgColor indexed="64"/>
      </patternFill>
    </fill>
    <fill>
      <patternFill patternType="solid">
        <fgColor theme="7"/>
        <bgColor indexed="64"/>
      </patternFill>
    </fill>
    <fill>
      <patternFill patternType="solid">
        <fgColor theme="3" tint="-0.249977111117893"/>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7">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3" fillId="2" borderId="0" xfId="0" applyFont="1" applyFill="1"/>
    <xf numFmtId="0" fontId="0" fillId="3" borderId="0" xfId="0" applyFill="1"/>
    <xf numFmtId="0" fontId="0" fillId="3" borderId="0" xfId="0" applyFill="1" applyAlignment="1">
      <alignment horizontal="left"/>
    </xf>
    <xf numFmtId="2" fontId="0" fillId="3" borderId="0" xfId="0" applyNumberFormat="1" applyFill="1"/>
    <xf numFmtId="9" fontId="0" fillId="0" borderId="0" xfId="1" applyFont="1"/>
    <xf numFmtId="0" fontId="4" fillId="0" borderId="0" xfId="0" pivotButton="1" applyFont="1"/>
    <xf numFmtId="0" fontId="4" fillId="0" borderId="0" xfId="0" applyFont="1"/>
    <xf numFmtId="0" fontId="4" fillId="0" borderId="0" xfId="0" applyFont="1" applyAlignment="1">
      <alignment horizontal="left"/>
    </xf>
    <xf numFmtId="10" fontId="4" fillId="0" borderId="0" xfId="0" applyNumberFormat="1" applyFont="1"/>
    <xf numFmtId="10" fontId="0" fillId="3" borderId="0" xfId="0" applyNumberFormat="1" applyFill="1"/>
    <xf numFmtId="10" fontId="3" fillId="2" borderId="0" xfId="0" applyNumberFormat="1" applyFont="1" applyFill="1"/>
    <xf numFmtId="10" fontId="0" fillId="3" borderId="0" xfId="0" applyNumberFormat="1" applyFill="1" applyAlignment="1">
      <alignment horizontal="left"/>
    </xf>
    <xf numFmtId="0" fontId="5" fillId="4" borderId="0" xfId="0" applyFont="1" applyFill="1"/>
    <xf numFmtId="0" fontId="5" fillId="0" borderId="0" xfId="0" applyFont="1"/>
    <xf numFmtId="0" fontId="6" fillId="4" borderId="0" xfId="0" applyFont="1" applyFill="1"/>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applyAlignment="1">
      <alignment vertical="center"/>
    </xf>
    <xf numFmtId="0" fontId="9" fillId="0" borderId="0" xfId="0" applyFont="1" applyAlignment="1">
      <alignment vertical="center"/>
    </xf>
    <xf numFmtId="0" fontId="12" fillId="0" borderId="0" xfId="0" applyFont="1"/>
    <xf numFmtId="0" fontId="11" fillId="0" borderId="0" xfId="0" applyFont="1"/>
    <xf numFmtId="0" fontId="14" fillId="4" borderId="0" xfId="0" applyFont="1" applyFill="1"/>
    <xf numFmtId="0" fontId="14" fillId="0" borderId="0" xfId="0" applyFont="1"/>
    <xf numFmtId="0" fontId="0" fillId="0" borderId="0" xfId="0" applyNumberFormat="1"/>
    <xf numFmtId="0" fontId="0" fillId="5" borderId="0" xfId="0" applyFill="1"/>
    <xf numFmtId="0" fontId="0" fillId="0" borderId="0" xfId="0" applyAlignment="1">
      <alignment wrapText="1"/>
    </xf>
    <xf numFmtId="0" fontId="4" fillId="0" borderId="0" xfId="0" applyNumberFormat="1" applyFont="1"/>
    <xf numFmtId="0" fontId="0" fillId="3" borderId="0" xfId="0" applyNumberFormat="1" applyFill="1"/>
    <xf numFmtId="0" fontId="0" fillId="6" borderId="0" xfId="0" applyFill="1"/>
    <xf numFmtId="169" fontId="0" fillId="0" borderId="0" xfId="2" applyNumberFormat="1" applyFont="1"/>
    <xf numFmtId="9" fontId="0" fillId="0" borderId="0" xfId="0" applyNumberFormat="1"/>
    <xf numFmtId="0" fontId="15" fillId="0" borderId="0" xfId="0" applyFont="1"/>
  </cellXfs>
  <cellStyles count="3">
    <cellStyle name="Comma" xfId="2" builtinId="3"/>
    <cellStyle name="Normal" xfId="0" builtinId="0"/>
    <cellStyle name="Percent" xfId="1" builtinId="5"/>
  </cellStyles>
  <dxfs count="23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numFmt numFmtId="14" formatCode="0.00%"/>
    </dxf>
    <dxf>
      <numFmt numFmtId="14" formatCode="0.00%"/>
    </dxf>
    <dxf>
      <numFmt numFmtId="14" formatCode="0.00%"/>
    </dxf>
    <dxf>
      <numFmt numFmtId="14" formatCode="0.00%"/>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ont>
        <color auto="1"/>
      </font>
    </dxf>
    <dxf>
      <fill>
        <patternFill patternType="solid">
          <bgColor theme="7" tint="-0.249977111117893"/>
        </patternFill>
      </fill>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numFmt numFmtId="14" formatCode="0.00%"/>
    </dxf>
    <dxf>
      <numFmt numFmtId="14" formatCode="0.00%"/>
    </dxf>
    <dxf>
      <numFmt numFmtId="14" formatCode="0.00%"/>
    </dxf>
    <dxf>
      <numFmt numFmtId="14" formatCode="0.00%"/>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ont>
        <color auto="1"/>
      </font>
    </dxf>
    <dxf>
      <fill>
        <patternFill patternType="solid">
          <bgColor theme="7" tint="-0.249977111117893"/>
        </patternFill>
      </fill>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numFmt numFmtId="14" formatCode="0.00%"/>
    </dxf>
    <dxf>
      <numFmt numFmtId="14" formatCode="0.00%"/>
    </dxf>
    <dxf>
      <numFmt numFmtId="14" formatCode="0.00%"/>
    </dxf>
    <dxf>
      <numFmt numFmtId="14" formatCode="0.00%"/>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ont>
        <color auto="1"/>
      </font>
    </dxf>
    <dxf>
      <fill>
        <patternFill patternType="solid">
          <bgColor theme="7" tint="-0.249977111117893"/>
        </patternFill>
      </fill>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numFmt numFmtId="14" formatCode="0.00%"/>
    </dxf>
    <dxf>
      <numFmt numFmtId="14" formatCode="0.00%"/>
    </dxf>
    <dxf>
      <numFmt numFmtId="14" formatCode="0.00%"/>
    </dxf>
    <dxf>
      <numFmt numFmtId="14" formatCode="0.00%"/>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ont>
        <color auto="1"/>
      </font>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auto="1"/>
      </font>
    </dxf>
    <dxf>
      <font>
        <color auto="1"/>
      </font>
    </dxf>
    <dxf>
      <fill>
        <patternFill patternType="solid">
          <bgColor theme="7" tint="-0.249977111117893"/>
        </patternFill>
      </fill>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name val="Avenir Next LT Pro"/>
      </font>
    </dxf>
    <dxf>
      <font>
        <name val="Avenir Next LT Pro"/>
      </font>
    </dxf>
    <dxf>
      <font>
        <name val="Avenir Next LT Pro"/>
      </font>
    </dxf>
    <dxf>
      <font>
        <name val="Avenir Next LT Pro"/>
      </font>
    </dxf>
    <dxf>
      <font>
        <name val="Avenir Next LT Pro"/>
      </font>
    </dxf>
    <dxf>
      <numFmt numFmtId="14" formatCode="0.00%"/>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numFmt numFmtId="0" formatCode="General"/>
    </dxf>
    <dxf>
      <font>
        <name val="Avenir Next LT Pro"/>
      </font>
    </dxf>
    <dxf>
      <font>
        <name val="Avenir Next LT Pro"/>
      </font>
    </dxf>
    <dxf>
      <font>
        <name val="Avenir Next LT Pro"/>
      </font>
    </dxf>
    <dxf>
      <font>
        <name val="Avenir Next LT Pro"/>
      </font>
    </dxf>
    <dxf>
      <font>
        <name val="Avenir Next LT Pro"/>
      </font>
    </dxf>
    <dxf>
      <font>
        <color theme="4" tint="0.39994506668294322"/>
      </font>
    </dxf>
    <dxf>
      <font>
        <color rgb="FFADD8E6"/>
      </font>
    </dxf>
    <dxf>
      <font>
        <color theme="4" tint="0.39994506668294322"/>
        <name val="Arial"/>
        <family val="2"/>
      </font>
    </dxf>
  </dxfs>
  <tableStyles count="5" defaultTableStyle="TableStyleMedium2" defaultPivotStyle="PivotStyleLight16">
    <tableStyle name="Invisible" pivot="0" table="0" count="0" xr9:uid="{B23F8447-1EC3-4C44-A254-A9B6E5CD388D}"/>
    <tableStyle name="Slicer Style 1" pivot="0" table="0" count="1" xr9:uid="{10A5D07E-2BBE-45C7-B993-042C2D7DA8C0}">
      <tableStyleElement type="wholeTable" dxfId="235"/>
    </tableStyle>
    <tableStyle name="Slicer Style 2" pivot="0" table="0" count="1" xr9:uid="{8315A0A3-970B-41DB-B191-EEDEB675C9AA}">
      <tableStyleElement type="wholeTable" dxfId="234"/>
    </tableStyle>
    <tableStyle name="Slicer Style 3" pivot="0" table="0" count="1" xr9:uid="{59ED6785-8393-4D3A-8854-38E49239B616}"/>
    <tableStyle name="Slicer Style 4" pivot="0" table="0" count="1" xr9:uid="{3A59C8A2-AD70-4728-980C-18F0BE55A799}">
      <tableStyleElement type="wholeTable" dxfId="233"/>
    </tableStyle>
  </tableStyles>
  <colors>
    <mruColors>
      <color rgb="FFC42296"/>
      <color rgb="FF76145A"/>
      <color rgb="FF590F44"/>
      <color rgb="FF8C186B"/>
      <color rgb="FFF6D2FA"/>
      <color rgb="FF6E0C34"/>
      <color rgb="FFC521A2"/>
      <color rgb="FFF078A9"/>
      <color rgb="FFE7E5E6"/>
      <color rgb="FFA2347D"/>
    </mruColors>
  </colors>
  <extLst>
    <ext xmlns:x14="http://schemas.microsoft.com/office/spreadsheetml/2009/9/main" uri="{46F421CA-312F-682f-3DD2-61675219B42D}">
      <x14:dxfs count="1">
        <dxf>
          <font>
            <color rgb="FFADD8E6"/>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2.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rate'!$B$1</c:f>
              <c:strCache>
                <c:ptCount val="1"/>
                <c:pt idx="0">
                  <c:v>Total</c:v>
                </c:pt>
              </c:strCache>
            </c:strRef>
          </c:tx>
          <c:spPr>
            <a:solidFill>
              <a:schemeClr val="accent1"/>
            </a:solidFill>
            <a:ln>
              <a:noFill/>
            </a:ln>
            <a:effectLst/>
          </c:spPr>
          <c:invertIfNegative val="0"/>
          <c:cat>
            <c:strRef>
              <c:f>'Job Card Utilization rate'!$A$2:$A$35</c:f>
              <c:strCache>
                <c:ptCount val="34"/>
                <c:pt idx="0">
                  <c:v>DN HAVELI AND DD</c:v>
                </c:pt>
                <c:pt idx="1">
                  <c:v>LAKSHADWEEP</c:v>
                </c:pt>
                <c:pt idx="2">
                  <c:v>GOA</c:v>
                </c:pt>
                <c:pt idx="3">
                  <c:v>ANDAMAN AND NICOBAR</c:v>
                </c:pt>
                <c:pt idx="4">
                  <c:v>MAHARASHTRA</c:v>
                </c:pt>
                <c:pt idx="5">
                  <c:v>GUJARAT</c:v>
                </c:pt>
                <c:pt idx="6">
                  <c:v>HARYANA</c:v>
                </c:pt>
                <c:pt idx="7">
                  <c:v>BIHAR</c:v>
                </c:pt>
                <c:pt idx="8">
                  <c:v>KERALA</c:v>
                </c:pt>
                <c:pt idx="9">
                  <c:v>KARNATAKA</c:v>
                </c:pt>
                <c:pt idx="10">
                  <c:v>JHARKHAND</c:v>
                </c:pt>
                <c:pt idx="11">
                  <c:v>ASSAM</c:v>
                </c:pt>
                <c:pt idx="12">
                  <c:v>TELANGANA</c:v>
                </c:pt>
                <c:pt idx="13">
                  <c:v>HIMACHAL PRADESH</c:v>
                </c:pt>
                <c:pt idx="14">
                  <c:v>UTTAR PRADESH</c:v>
                </c:pt>
                <c:pt idx="15">
                  <c:v>PUNJAB</c:v>
                </c:pt>
                <c:pt idx="16">
                  <c:v>MADHYA PRADESH</c:v>
                </c:pt>
                <c:pt idx="17">
                  <c:v>WEST BENGAL</c:v>
                </c:pt>
                <c:pt idx="18">
                  <c:v>JAMMU AND KASHMIR</c:v>
                </c:pt>
                <c:pt idx="19">
                  <c:v>UTTARAKHAND</c:v>
                </c:pt>
                <c:pt idx="20">
                  <c:v>RAJASTHAN</c:v>
                </c:pt>
                <c:pt idx="21">
                  <c:v>TAMIL NADU</c:v>
                </c:pt>
                <c:pt idx="22">
                  <c:v>ANDHRA PRADESH</c:v>
                </c:pt>
                <c:pt idx="23">
                  <c:v>ODISHA</c:v>
                </c:pt>
                <c:pt idx="24">
                  <c:v>PUDUCHERRY</c:v>
                </c:pt>
                <c:pt idx="25">
                  <c:v>CHHATTISGARH</c:v>
                </c:pt>
                <c:pt idx="26">
                  <c:v>SIKKIM</c:v>
                </c:pt>
                <c:pt idx="27">
                  <c:v>MEGHALAYA</c:v>
                </c:pt>
                <c:pt idx="28">
                  <c:v>ARUNACHAL PRADESH</c:v>
                </c:pt>
                <c:pt idx="29">
                  <c:v>TRIPURA</c:v>
                </c:pt>
                <c:pt idx="30">
                  <c:v>MANIPUR</c:v>
                </c:pt>
                <c:pt idx="31">
                  <c:v>LADAKH</c:v>
                </c:pt>
                <c:pt idx="32">
                  <c:v>NAGALAND</c:v>
                </c:pt>
                <c:pt idx="33">
                  <c:v>MIZORAM</c:v>
                </c:pt>
              </c:strCache>
            </c:strRef>
          </c:cat>
          <c:val>
            <c:numRef>
              <c:f>'Job Card Utilization rate'!$B$2:$B$35</c:f>
              <c:numCache>
                <c:formatCode>0.00%</c:formatCode>
                <c:ptCount val="34"/>
                <c:pt idx="0">
                  <c:v>4.7294740824820297E-5</c:v>
                </c:pt>
                <c:pt idx="1">
                  <c:v>2.5460518596738198E-2</c:v>
                </c:pt>
                <c:pt idx="2">
                  <c:v>0.18584594973953397</c:v>
                </c:pt>
                <c:pt idx="3">
                  <c:v>0.25400102377002803</c:v>
                </c:pt>
                <c:pt idx="4">
                  <c:v>0.28525598064653274</c:v>
                </c:pt>
                <c:pt idx="5">
                  <c:v>0.39477842382338746</c:v>
                </c:pt>
                <c:pt idx="6">
                  <c:v>0.45576909670390275</c:v>
                </c:pt>
                <c:pt idx="7">
                  <c:v>0.49619103709512136</c:v>
                </c:pt>
                <c:pt idx="8">
                  <c:v>0.50673166466486885</c:v>
                </c:pt>
                <c:pt idx="9">
                  <c:v>0.54514756973382139</c:v>
                </c:pt>
                <c:pt idx="10">
                  <c:v>0.55401575913161816</c:v>
                </c:pt>
                <c:pt idx="11">
                  <c:v>0.59604861181269253</c:v>
                </c:pt>
                <c:pt idx="12">
                  <c:v>0.62653813180719808</c:v>
                </c:pt>
                <c:pt idx="13">
                  <c:v>0.62699047187380452</c:v>
                </c:pt>
                <c:pt idx="14">
                  <c:v>0.64894579397138952</c:v>
                </c:pt>
                <c:pt idx="15">
                  <c:v>0.64979740881171733</c:v>
                </c:pt>
                <c:pt idx="16">
                  <c:v>0.70139374465604942</c:v>
                </c:pt>
                <c:pt idx="17">
                  <c:v>0.70206571861720857</c:v>
                </c:pt>
                <c:pt idx="18">
                  <c:v>0.70730986930874595</c:v>
                </c:pt>
                <c:pt idx="19">
                  <c:v>0.73226344650000708</c:v>
                </c:pt>
                <c:pt idx="20">
                  <c:v>0.75615989089855562</c:v>
                </c:pt>
                <c:pt idx="21">
                  <c:v>0.78091951908215029</c:v>
                </c:pt>
                <c:pt idx="22">
                  <c:v>0.78336065124088594</c:v>
                </c:pt>
                <c:pt idx="23">
                  <c:v>0.78801446332385083</c:v>
                </c:pt>
                <c:pt idx="24">
                  <c:v>0.81754245434591022</c:v>
                </c:pt>
                <c:pt idx="25">
                  <c:v>0.84041476151943117</c:v>
                </c:pt>
                <c:pt idx="26">
                  <c:v>0.84407704102044068</c:v>
                </c:pt>
                <c:pt idx="27">
                  <c:v>0.91050641556958878</c:v>
                </c:pt>
                <c:pt idx="28">
                  <c:v>0.92404721701119064</c:v>
                </c:pt>
                <c:pt idx="29">
                  <c:v>0.94271156825097058</c:v>
                </c:pt>
                <c:pt idx="30">
                  <c:v>0.95418825344133973</c:v>
                </c:pt>
                <c:pt idx="31">
                  <c:v>0.95956056936844214</c:v>
                </c:pt>
                <c:pt idx="32">
                  <c:v>0.96645026288679214</c:v>
                </c:pt>
                <c:pt idx="33">
                  <c:v>0.97069215132352415</c:v>
                </c:pt>
              </c:numCache>
            </c:numRef>
          </c:val>
          <c:extLst>
            <c:ext xmlns:c16="http://schemas.microsoft.com/office/drawing/2014/chart" uri="{C3380CC4-5D6E-409C-BE32-E72D297353CC}">
              <c16:uniqueId val="{00000000-EE78-43A2-84A5-C1F4B77F6C9A}"/>
            </c:ext>
          </c:extLst>
        </c:ser>
        <c:dLbls>
          <c:showLegendKey val="0"/>
          <c:showVal val="0"/>
          <c:showCatName val="0"/>
          <c:showSerName val="0"/>
          <c:showPercent val="0"/>
          <c:showBubbleSize val="0"/>
        </c:dLbls>
        <c:gapWidth val="182"/>
        <c:axId val="1879443535"/>
        <c:axId val="1879441615"/>
      </c:barChart>
      <c:catAx>
        <c:axId val="1879443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79441615"/>
        <c:crosses val="autoZero"/>
        <c:auto val="1"/>
        <c:lblAlgn val="ctr"/>
        <c:lblOffset val="100"/>
        <c:noMultiLvlLbl val="0"/>
      </c:catAx>
      <c:valAx>
        <c:axId val="1879441615"/>
        <c:scaling>
          <c:orientation val="minMax"/>
          <c:max val="1"/>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7944353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noFill/>
              </a:ln>
              <a:effectLst/>
            </c:spPr>
            <c:extLst>
              <c:ext xmlns:c16="http://schemas.microsoft.com/office/drawing/2014/chart" uri="{C3380CC4-5D6E-409C-BE32-E72D297353CC}">
                <c16:uniqueId val="{00000001-FCEA-4E0F-8802-5E1B8B0529EA}"/>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FCEA-4E0F-8802-5E1B8B0529EA}"/>
              </c:ext>
            </c:extLst>
          </c:dPt>
          <c:cat>
            <c:strRef>
              <c:f>'Job Card Utilization rate'!$B$89:$B$90</c:f>
              <c:strCache>
                <c:ptCount val="2"/>
                <c:pt idx="0">
                  <c:v>Active Workers</c:v>
                </c:pt>
                <c:pt idx="1">
                  <c:v>Total Workers</c:v>
                </c:pt>
              </c:strCache>
            </c:strRef>
          </c:cat>
          <c:val>
            <c:numRef>
              <c:f>'Job Card Utilization rate'!$C$89:$C$90</c:f>
              <c:numCache>
                <c:formatCode>General</c:formatCode>
                <c:ptCount val="2"/>
                <c:pt idx="0">
                  <c:v>66522128</c:v>
                </c:pt>
                <c:pt idx="1">
                  <c:v>94285624</c:v>
                </c:pt>
              </c:numCache>
            </c:numRef>
          </c:val>
          <c:extLst>
            <c:ext xmlns:c16="http://schemas.microsoft.com/office/drawing/2014/chart" uri="{C3380CC4-5D6E-409C-BE32-E72D297353CC}">
              <c16:uniqueId val="{00000004-FCEA-4E0F-8802-5E1B8B0529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2147517342193874E-2"/>
          <c:y val="2.1262041095674832E-2"/>
          <c:w val="0.87417811392475553"/>
          <c:h val="0.95152500176067556"/>
        </c:manualLayout>
      </c:layout>
      <c:bubbleChart>
        <c:varyColors val="0"/>
        <c:ser>
          <c:idx val="0"/>
          <c:order val="0"/>
          <c:tx>
            <c:strRef>
              <c:f>'Job Card Utilization rate'!$I$41</c:f>
              <c:strCache>
                <c:ptCount val="1"/>
                <c:pt idx="0">
                  <c:v>No.of JobCards issued</c:v>
                </c:pt>
              </c:strCache>
            </c:strRef>
          </c:tx>
          <c:spPr>
            <a:noFill/>
            <a:ln w="50800">
              <a:solidFill>
                <a:schemeClr val="accent4"/>
              </a:solidFill>
            </a:ln>
            <a:effectLst>
              <a:glow rad="50800">
                <a:schemeClr val="accent4">
                  <a:satMod val="175000"/>
                  <a:alpha val="60000"/>
                </a:schemeClr>
              </a:glow>
            </a:effectLst>
          </c:spPr>
          <c:invertIfNegative val="0"/>
          <c:dLbls>
            <c:dLbl>
              <c:idx val="0"/>
              <c:tx>
                <c:rich>
                  <a:bodyPr/>
                  <a:lstStyle/>
                  <a:p>
                    <a:fld id="{626B38F2-1EAB-4EFE-B4C2-1F9DE53D859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82E-48D2-AD24-1274F931E385}"/>
                </c:ext>
              </c:extLst>
            </c:dLbl>
            <c:dLbl>
              <c:idx val="1"/>
              <c:tx>
                <c:rich>
                  <a:bodyPr/>
                  <a:lstStyle/>
                  <a:p>
                    <a:fld id="{C36F950E-D15F-475B-BB07-A32C30B0D04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82E-48D2-AD24-1274F931E385}"/>
                </c:ext>
              </c:extLst>
            </c:dLbl>
            <c:dLbl>
              <c:idx val="2"/>
              <c:tx>
                <c:rich>
                  <a:bodyPr/>
                  <a:lstStyle/>
                  <a:p>
                    <a:fld id="{19BFD594-002F-4FFF-B335-179665A797C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82E-48D2-AD24-1274F931E385}"/>
                </c:ext>
              </c:extLst>
            </c:dLbl>
            <c:dLbl>
              <c:idx val="3"/>
              <c:tx>
                <c:rich>
                  <a:bodyPr/>
                  <a:lstStyle/>
                  <a:p>
                    <a:fld id="{B33E5BFA-15FC-4CC1-9177-D8A275DFB17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82E-48D2-AD24-1274F931E385}"/>
                </c:ext>
              </c:extLst>
            </c:dLbl>
            <c:dLbl>
              <c:idx val="4"/>
              <c:tx>
                <c:rich>
                  <a:bodyPr/>
                  <a:lstStyle/>
                  <a:p>
                    <a:fld id="{4963B4B3-C071-4D36-83EC-ADF4CB5D5BC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82E-48D2-AD24-1274F931E385}"/>
                </c:ext>
              </c:extLst>
            </c:dLbl>
            <c:dLbl>
              <c:idx val="5"/>
              <c:tx>
                <c:rich>
                  <a:bodyPr/>
                  <a:lstStyle/>
                  <a:p>
                    <a:fld id="{D245FDCE-37AC-4668-92AA-5EC1C7E598A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82E-48D2-AD24-1274F931E385}"/>
                </c:ext>
              </c:extLst>
            </c:dLbl>
            <c:dLbl>
              <c:idx val="6"/>
              <c:tx>
                <c:rich>
                  <a:bodyPr/>
                  <a:lstStyle/>
                  <a:p>
                    <a:fld id="{B39DA4BF-1176-4027-A967-82B15A62D17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82E-48D2-AD24-1274F931E385}"/>
                </c:ext>
              </c:extLst>
            </c:dLbl>
            <c:dLbl>
              <c:idx val="7"/>
              <c:tx>
                <c:rich>
                  <a:bodyPr/>
                  <a:lstStyle/>
                  <a:p>
                    <a:fld id="{9699887A-E8F3-433B-95E2-0E2AFDA778A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82E-48D2-AD24-1274F931E385}"/>
                </c:ext>
              </c:extLst>
            </c:dLbl>
            <c:dLbl>
              <c:idx val="8"/>
              <c:tx>
                <c:rich>
                  <a:bodyPr/>
                  <a:lstStyle/>
                  <a:p>
                    <a:fld id="{F1E00B67-FED6-4386-A65E-67429BD541C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82E-48D2-AD24-1274F931E385}"/>
                </c:ext>
              </c:extLst>
            </c:dLbl>
            <c:dLbl>
              <c:idx val="9"/>
              <c:tx>
                <c:rich>
                  <a:bodyPr/>
                  <a:lstStyle/>
                  <a:p>
                    <a:fld id="{0526EB8A-409C-4786-9C90-BB040BC67E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82E-48D2-AD24-1274F931E385}"/>
                </c:ext>
              </c:extLst>
            </c:dLbl>
            <c:dLbl>
              <c:idx val="10"/>
              <c:tx>
                <c:rich>
                  <a:bodyPr/>
                  <a:lstStyle/>
                  <a:p>
                    <a:fld id="{9D0BA85E-176B-4CF9-9099-8DABCC8916A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82E-48D2-AD24-1274F931E385}"/>
                </c:ext>
              </c:extLst>
            </c:dLbl>
            <c:dLbl>
              <c:idx val="11"/>
              <c:tx>
                <c:rich>
                  <a:bodyPr/>
                  <a:lstStyle/>
                  <a:p>
                    <a:fld id="{4E4C2C87-2753-4E6B-8A13-52F20713EBC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82E-48D2-AD24-1274F931E385}"/>
                </c:ext>
              </c:extLst>
            </c:dLbl>
            <c:dLbl>
              <c:idx val="12"/>
              <c:tx>
                <c:rich>
                  <a:bodyPr/>
                  <a:lstStyle/>
                  <a:p>
                    <a:fld id="{B66C6CBD-4D1D-4825-A54A-BE88E60C913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82E-48D2-AD24-1274F931E385}"/>
                </c:ext>
              </c:extLst>
            </c:dLbl>
            <c:dLbl>
              <c:idx val="13"/>
              <c:tx>
                <c:rich>
                  <a:bodyPr/>
                  <a:lstStyle/>
                  <a:p>
                    <a:fld id="{EFCD19DD-D383-4EC2-AD31-D2B569C191D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82E-48D2-AD24-1274F931E385}"/>
                </c:ext>
              </c:extLst>
            </c:dLbl>
            <c:dLbl>
              <c:idx val="14"/>
              <c:tx>
                <c:rich>
                  <a:bodyPr/>
                  <a:lstStyle/>
                  <a:p>
                    <a:fld id="{E02F54D0-1062-40CF-BB0F-667F9525F8B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82E-48D2-AD24-1274F931E385}"/>
                </c:ext>
              </c:extLst>
            </c:dLbl>
            <c:dLbl>
              <c:idx val="15"/>
              <c:tx>
                <c:rich>
                  <a:bodyPr/>
                  <a:lstStyle/>
                  <a:p>
                    <a:fld id="{E76321AF-C19C-4E3E-A8E3-6FA78FF8AAC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82E-48D2-AD24-1274F931E385}"/>
                </c:ext>
              </c:extLst>
            </c:dLbl>
            <c:dLbl>
              <c:idx val="16"/>
              <c:tx>
                <c:rich>
                  <a:bodyPr/>
                  <a:lstStyle/>
                  <a:p>
                    <a:fld id="{59A7FC77-92D4-498F-B7CB-DFD7D0E06BB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82E-48D2-AD24-1274F931E385}"/>
                </c:ext>
              </c:extLst>
            </c:dLbl>
            <c:dLbl>
              <c:idx val="17"/>
              <c:tx>
                <c:rich>
                  <a:bodyPr/>
                  <a:lstStyle/>
                  <a:p>
                    <a:fld id="{6BDF7445-FD15-4E99-95D9-745EE9F8F5D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82E-48D2-AD24-1274F931E385}"/>
                </c:ext>
              </c:extLst>
            </c:dLbl>
            <c:dLbl>
              <c:idx val="18"/>
              <c:tx>
                <c:rich>
                  <a:bodyPr/>
                  <a:lstStyle/>
                  <a:p>
                    <a:fld id="{9FC3A537-9D18-4279-B1C6-F1CC6484A34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82E-48D2-AD24-1274F931E385}"/>
                </c:ext>
              </c:extLst>
            </c:dLbl>
            <c:dLbl>
              <c:idx val="19"/>
              <c:tx>
                <c:rich>
                  <a:bodyPr/>
                  <a:lstStyle/>
                  <a:p>
                    <a:fld id="{1537685E-7AA9-4D48-BF15-DD038F95118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82E-48D2-AD24-1274F931E385}"/>
                </c:ext>
              </c:extLst>
            </c:dLbl>
            <c:dLbl>
              <c:idx val="20"/>
              <c:tx>
                <c:rich>
                  <a:bodyPr/>
                  <a:lstStyle/>
                  <a:p>
                    <a:fld id="{78B3216A-16F8-46B4-B7F4-7D36D7B8F3A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82E-48D2-AD24-1274F931E385}"/>
                </c:ext>
              </c:extLst>
            </c:dLbl>
            <c:dLbl>
              <c:idx val="21"/>
              <c:tx>
                <c:rich>
                  <a:bodyPr/>
                  <a:lstStyle/>
                  <a:p>
                    <a:fld id="{C5F5E48B-7E1F-4C3B-905A-DC08C884B48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82E-48D2-AD24-1274F931E385}"/>
                </c:ext>
              </c:extLst>
            </c:dLbl>
            <c:dLbl>
              <c:idx val="22"/>
              <c:tx>
                <c:rich>
                  <a:bodyPr/>
                  <a:lstStyle/>
                  <a:p>
                    <a:fld id="{252022F7-61E1-4AF2-81D6-82922F8F375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82E-48D2-AD24-1274F931E385}"/>
                </c:ext>
              </c:extLst>
            </c:dLbl>
            <c:dLbl>
              <c:idx val="23"/>
              <c:tx>
                <c:rich>
                  <a:bodyPr/>
                  <a:lstStyle/>
                  <a:p>
                    <a:fld id="{5D41A7C7-FC2D-4F79-857E-983FCA41F74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82E-48D2-AD24-1274F931E385}"/>
                </c:ext>
              </c:extLst>
            </c:dLbl>
            <c:dLbl>
              <c:idx val="24"/>
              <c:tx>
                <c:rich>
                  <a:bodyPr/>
                  <a:lstStyle/>
                  <a:p>
                    <a:fld id="{FBB211FC-EFE2-4245-BD66-F6DFE673410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82E-48D2-AD24-1274F931E385}"/>
                </c:ext>
              </c:extLst>
            </c:dLbl>
            <c:dLbl>
              <c:idx val="25"/>
              <c:tx>
                <c:rich>
                  <a:bodyPr/>
                  <a:lstStyle/>
                  <a:p>
                    <a:fld id="{9F6821A7-E147-4CC3-AD1F-8CAC5D66FC8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82E-48D2-AD24-1274F931E385}"/>
                </c:ext>
              </c:extLst>
            </c:dLbl>
            <c:dLbl>
              <c:idx val="26"/>
              <c:tx>
                <c:rich>
                  <a:bodyPr/>
                  <a:lstStyle/>
                  <a:p>
                    <a:fld id="{0063BE36-F264-45BA-8BAC-EDE187E461F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82E-48D2-AD24-1274F931E385}"/>
                </c:ext>
              </c:extLst>
            </c:dLbl>
            <c:dLbl>
              <c:idx val="27"/>
              <c:tx>
                <c:rich>
                  <a:bodyPr/>
                  <a:lstStyle/>
                  <a:p>
                    <a:fld id="{40E6D8DE-8CAC-4DF5-8B64-E977383C1D0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82E-48D2-AD24-1274F931E385}"/>
                </c:ext>
              </c:extLst>
            </c:dLbl>
            <c:dLbl>
              <c:idx val="28"/>
              <c:tx>
                <c:rich>
                  <a:bodyPr/>
                  <a:lstStyle/>
                  <a:p>
                    <a:fld id="{FA997A48-112B-4CC2-A872-6D481BDF59C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82E-48D2-AD24-1274F931E385}"/>
                </c:ext>
              </c:extLst>
            </c:dLbl>
            <c:dLbl>
              <c:idx val="29"/>
              <c:tx>
                <c:rich>
                  <a:bodyPr/>
                  <a:lstStyle/>
                  <a:p>
                    <a:fld id="{470A4146-DF40-4A15-A04A-16409741D8B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82E-48D2-AD24-1274F931E385}"/>
                </c:ext>
              </c:extLst>
            </c:dLbl>
            <c:dLbl>
              <c:idx val="30"/>
              <c:tx>
                <c:rich>
                  <a:bodyPr/>
                  <a:lstStyle/>
                  <a:p>
                    <a:fld id="{3472526D-A637-4857-8183-5A70933E707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A82E-48D2-AD24-1274F931E385}"/>
                </c:ext>
              </c:extLst>
            </c:dLbl>
            <c:dLbl>
              <c:idx val="31"/>
              <c:tx>
                <c:rich>
                  <a:bodyPr/>
                  <a:lstStyle/>
                  <a:p>
                    <a:fld id="{A435F758-C674-4037-B381-DAE6A43AE8F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A82E-48D2-AD24-1274F931E385}"/>
                </c:ext>
              </c:extLst>
            </c:dLbl>
            <c:dLbl>
              <c:idx val="32"/>
              <c:tx>
                <c:rich>
                  <a:bodyPr/>
                  <a:lstStyle/>
                  <a:p>
                    <a:fld id="{6A490C5D-559A-4F09-8E5E-A9ADA13826A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A82E-48D2-AD24-1274F931E385}"/>
                </c:ext>
              </c:extLst>
            </c:dLbl>
            <c:dLbl>
              <c:idx val="33"/>
              <c:tx>
                <c:rich>
                  <a:bodyPr/>
                  <a:lstStyle/>
                  <a:p>
                    <a:fld id="{98E46E00-D146-46AC-A2B4-AB4B645C575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A82E-48D2-AD24-1274F931E38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strRef>
              <c:f>'Job Card Utilization rate'!$H$42:$H$75</c:f>
              <c:str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strCache>
            </c:strRef>
          </c:xVal>
          <c:yVal>
            <c:numRef>
              <c:f>'Job Card Utilization rate'!$I$42:$I$75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71241956</c:v>
                </c:pt>
                <c:pt idx="27">
                  <c:v>0</c:v>
                </c:pt>
                <c:pt idx="28">
                  <c:v>0</c:v>
                </c:pt>
                <c:pt idx="29">
                  <c:v>0</c:v>
                </c:pt>
                <c:pt idx="30">
                  <c:v>0</c:v>
                </c:pt>
                <c:pt idx="31">
                  <c:v>0</c:v>
                </c:pt>
                <c:pt idx="32">
                  <c:v>0</c:v>
                </c:pt>
                <c:pt idx="33">
                  <c:v>0</c:v>
                </c:pt>
              </c:numCache>
            </c:numRef>
          </c:yVal>
          <c:bubbleSize>
            <c:numRef>
              <c:f>'Job Card Utilization rate'!$J$42:$J$75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formatCode="0.00">
                  <c:v>48181372</c:v>
                </c:pt>
                <c:pt idx="27">
                  <c:v>0</c:v>
                </c:pt>
                <c:pt idx="28">
                  <c:v>0</c:v>
                </c:pt>
                <c:pt idx="29">
                  <c:v>0</c:v>
                </c:pt>
                <c:pt idx="30">
                  <c:v>0</c:v>
                </c:pt>
                <c:pt idx="31">
                  <c:v>0</c:v>
                </c:pt>
                <c:pt idx="32">
                  <c:v>0</c:v>
                </c:pt>
                <c:pt idx="33">
                  <c:v>0</c:v>
                </c:pt>
              </c:numCache>
            </c:numRef>
          </c:bubbleSize>
          <c:bubble3D val="0"/>
          <c:extLst>
            <c:ext xmlns:c15="http://schemas.microsoft.com/office/drawing/2012/chart" uri="{02D57815-91ED-43cb-92C2-25804820EDAC}">
              <c15:datalabelsRange>
                <c15:f>'Job Card Utilization rate'!$H$42:$H$75</c15:f>
                <c15:dlblRange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15:dlblRangeCache>
              </c15:datalabelsRange>
            </c:ext>
            <c:ext xmlns:c16="http://schemas.microsoft.com/office/drawing/2014/chart" uri="{C3380CC4-5D6E-409C-BE32-E72D297353CC}">
              <c16:uniqueId val="{00000022-A82E-48D2-AD24-1274F931E385}"/>
            </c:ext>
          </c:extLst>
        </c:ser>
        <c:dLbls>
          <c:showLegendKey val="0"/>
          <c:showVal val="1"/>
          <c:showCatName val="0"/>
          <c:showSerName val="0"/>
          <c:showPercent val="0"/>
          <c:showBubbleSize val="0"/>
        </c:dLbls>
        <c:bubbleScale val="100"/>
        <c:showNegBubbles val="0"/>
        <c:axId val="959626656"/>
        <c:axId val="959627136"/>
      </c:bubbleChart>
      <c:valAx>
        <c:axId val="959626656"/>
        <c:scaling>
          <c:orientation val="minMax"/>
          <c:max val="35"/>
          <c:min val="0"/>
        </c:scaling>
        <c:delete val="0"/>
        <c:axPos val="b"/>
        <c:majorTickMark val="out"/>
        <c:minorTickMark val="none"/>
        <c:tickLblPos val="nextTo"/>
        <c:spPr>
          <a:solidFill>
            <a:schemeClr val="accent1">
              <a:lumMod val="75000"/>
            </a:scheme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59627136"/>
        <c:crosses val="autoZero"/>
        <c:crossBetween val="midCat"/>
      </c:valAx>
      <c:valAx>
        <c:axId val="959627136"/>
        <c:scaling>
          <c:orientation val="minMax"/>
          <c:min val="0"/>
        </c:scaling>
        <c:delete val="0"/>
        <c:axPos val="l"/>
        <c:numFmt formatCode="General" sourceLinked="1"/>
        <c:majorTickMark val="out"/>
        <c:minorTickMark val="none"/>
        <c:tickLblPos val="nextTo"/>
        <c:spPr>
          <a:solidFill>
            <a:schemeClr val="accent1">
              <a:lumMod val="75000"/>
            </a:schemeClr>
          </a:solid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5962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s>
    <c:plotArea>
      <c:layout/>
      <c:barChart>
        <c:barDir val="bar"/>
        <c:grouping val="clustered"/>
        <c:varyColors val="0"/>
        <c:ser>
          <c:idx val="0"/>
          <c:order val="0"/>
          <c:tx>
            <c:strRef>
              <c:f>'Job Card Utilization rate'!$C$104</c:f>
              <c:strCache>
                <c:ptCount val="1"/>
                <c:pt idx="0">
                  <c:v>Total</c:v>
                </c:pt>
              </c:strCache>
            </c:strRef>
          </c:tx>
          <c:spPr>
            <a:solidFill>
              <a:schemeClr val="accent4"/>
            </a:solidFill>
            <a:ln>
              <a:noFill/>
            </a:ln>
            <a:effectLst/>
          </c:spPr>
          <c:invertIfNegative val="0"/>
          <c:dPt>
            <c:idx val="1"/>
            <c:invertIfNegative val="0"/>
            <c:bubble3D val="0"/>
            <c:extLst>
              <c:ext xmlns:c16="http://schemas.microsoft.com/office/drawing/2014/chart" uri="{C3380CC4-5D6E-409C-BE32-E72D297353CC}">
                <c16:uniqueId val="{00000002-B248-4070-87CB-AB74D624355D}"/>
              </c:ext>
            </c:extLst>
          </c:dPt>
          <c:dPt>
            <c:idx val="3"/>
            <c:invertIfNegative val="0"/>
            <c:bubble3D val="0"/>
            <c:extLst>
              <c:ext xmlns:c16="http://schemas.microsoft.com/office/drawing/2014/chart" uri="{C3380CC4-5D6E-409C-BE32-E72D297353CC}">
                <c16:uniqueId val="{00000001-B248-4070-87CB-AB74D624355D}"/>
              </c:ext>
            </c:extLst>
          </c:dPt>
          <c:cat>
            <c:strRef>
              <c:f>'Job Card Utilization rate'!$B$105:$B$106</c:f>
              <c:strCache>
                <c:ptCount val="1"/>
                <c:pt idx="0">
                  <c:v>UTTAR PRADESH</c:v>
                </c:pt>
              </c:strCache>
            </c:strRef>
          </c:cat>
          <c:val>
            <c:numRef>
              <c:f>'Job Card Utilization rate'!$C$105:$C$106</c:f>
              <c:numCache>
                <c:formatCode>0.00%</c:formatCode>
                <c:ptCount val="1"/>
                <c:pt idx="0">
                  <c:v>0.64894579397138974</c:v>
                </c:pt>
              </c:numCache>
            </c:numRef>
          </c:val>
          <c:extLst>
            <c:ext xmlns:c16="http://schemas.microsoft.com/office/drawing/2014/chart" uri="{C3380CC4-5D6E-409C-BE32-E72D297353CC}">
              <c16:uniqueId val="{00000000-B248-4070-87CB-AB74D624355D}"/>
            </c:ext>
          </c:extLst>
        </c:ser>
        <c:dLbls>
          <c:showLegendKey val="0"/>
          <c:showVal val="0"/>
          <c:showCatName val="0"/>
          <c:showSerName val="0"/>
          <c:showPercent val="0"/>
          <c:showBubbleSize val="0"/>
        </c:dLbls>
        <c:gapWidth val="182"/>
        <c:axId val="458744496"/>
        <c:axId val="458745456"/>
      </c:barChart>
      <c:catAx>
        <c:axId val="45874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58745456"/>
        <c:crosses val="autoZero"/>
        <c:auto val="1"/>
        <c:lblAlgn val="ctr"/>
        <c:lblOffset val="100"/>
        <c:noMultiLvlLbl val="0"/>
      </c:catAx>
      <c:valAx>
        <c:axId val="458745456"/>
        <c:scaling>
          <c:orientation val="minMax"/>
          <c:min val="0.92500000000000004"/>
        </c:scaling>
        <c:delete val="0"/>
        <c:axPos val="b"/>
        <c:numFmt formatCode="0.00%" sourceLinked="1"/>
        <c:majorTickMark val="out"/>
        <c:minorTickMark val="none"/>
        <c:tickLblPos val="nextTo"/>
        <c:spPr>
          <a:noFill/>
          <a:ln w="6350">
            <a:solidFill>
              <a:schemeClr val="bg1"/>
            </a:solid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crossAx val="4587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'Job Card Utilization rate'!$C$116</c:f>
              <c:strCache>
                <c:ptCount val="1"/>
                <c:pt idx="0">
                  <c:v>Total</c:v>
                </c:pt>
              </c:strCache>
            </c:strRef>
          </c:tx>
          <c:spPr>
            <a:solidFill>
              <a:schemeClr val="accent4"/>
            </a:solidFill>
            <a:ln>
              <a:noFill/>
            </a:ln>
            <a:effectLst/>
          </c:spPr>
          <c:invertIfNegative val="0"/>
          <c:dPt>
            <c:idx val="3"/>
            <c:invertIfNegative val="0"/>
            <c:bubble3D val="0"/>
            <c:extLst>
              <c:ext xmlns:c16="http://schemas.microsoft.com/office/drawing/2014/chart" uri="{C3380CC4-5D6E-409C-BE32-E72D297353CC}">
                <c16:uniqueId val="{00000001-AEAB-4C24-8F79-FEDB9FB6B5C1}"/>
              </c:ext>
            </c:extLst>
          </c:dPt>
          <c:cat>
            <c:strRef>
              <c:f>'Job Card Utilization rate'!$B$117:$B$118</c:f>
              <c:strCache>
                <c:ptCount val="1"/>
                <c:pt idx="0">
                  <c:v>UTTAR PRADESH</c:v>
                </c:pt>
              </c:strCache>
            </c:strRef>
          </c:cat>
          <c:val>
            <c:numRef>
              <c:f>'Job Card Utilization rate'!$C$117:$C$118</c:f>
              <c:numCache>
                <c:formatCode>0.00%</c:formatCode>
                <c:ptCount val="1"/>
                <c:pt idx="0">
                  <c:v>0.64894579397138974</c:v>
                </c:pt>
              </c:numCache>
            </c:numRef>
          </c:val>
          <c:extLst>
            <c:ext xmlns:c16="http://schemas.microsoft.com/office/drawing/2014/chart" uri="{C3380CC4-5D6E-409C-BE32-E72D297353CC}">
              <c16:uniqueId val="{00000000-AEAB-4C24-8F79-FEDB9FB6B5C1}"/>
            </c:ext>
          </c:extLst>
        </c:ser>
        <c:dLbls>
          <c:showLegendKey val="0"/>
          <c:showVal val="0"/>
          <c:showCatName val="0"/>
          <c:showSerName val="0"/>
          <c:showPercent val="0"/>
          <c:showBubbleSize val="0"/>
        </c:dLbls>
        <c:gapWidth val="182"/>
        <c:axId val="503978256"/>
        <c:axId val="458232608"/>
      </c:barChart>
      <c:catAx>
        <c:axId val="5039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58232608"/>
        <c:crosses val="autoZero"/>
        <c:auto val="1"/>
        <c:lblAlgn val="ctr"/>
        <c:lblOffset val="100"/>
        <c:noMultiLvlLbl val="0"/>
      </c:catAx>
      <c:valAx>
        <c:axId val="4582326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0397825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Participation'!$C$3</c:f>
              <c:strCache>
                <c:ptCount val="1"/>
                <c:pt idx="0">
                  <c:v>Total</c:v>
                </c:pt>
              </c:strCache>
            </c:strRef>
          </c:tx>
          <c:spPr>
            <a:solidFill>
              <a:schemeClr val="accent1"/>
            </a:solidFill>
            <a:ln>
              <a:noFill/>
            </a:ln>
            <a:effectLst/>
          </c:spPr>
          <c:invertIfNegative val="0"/>
          <c:cat>
            <c:strRef>
              <c:f>'Worker Participation'!$B$4:$B$37</c:f>
              <c:strCache>
                <c:ptCount val="34"/>
                <c:pt idx="0">
                  <c:v>DN HAVELI AND DD</c:v>
                </c:pt>
                <c:pt idx="1">
                  <c:v>LAKSHADWEEP</c:v>
                </c:pt>
                <c:pt idx="2">
                  <c:v>GOA</c:v>
                </c:pt>
                <c:pt idx="3">
                  <c:v>ANDAMAN AND NICOBAR</c:v>
                </c:pt>
                <c:pt idx="4">
                  <c:v>MAHARASHTRA</c:v>
                </c:pt>
                <c:pt idx="5">
                  <c:v>GUJARAT</c:v>
                </c:pt>
                <c:pt idx="6">
                  <c:v>HARYANA</c:v>
                </c:pt>
                <c:pt idx="7">
                  <c:v>BIHAR</c:v>
                </c:pt>
                <c:pt idx="8">
                  <c:v>KERALA</c:v>
                </c:pt>
                <c:pt idx="9">
                  <c:v>JHARKHAND</c:v>
                </c:pt>
                <c:pt idx="10">
                  <c:v>KARNATAKA</c:v>
                </c:pt>
                <c:pt idx="11">
                  <c:v>ASSAM</c:v>
                </c:pt>
                <c:pt idx="12">
                  <c:v>HIMACHAL PRADESH</c:v>
                </c:pt>
                <c:pt idx="13">
                  <c:v>TELANGANA</c:v>
                </c:pt>
                <c:pt idx="14">
                  <c:v>UTTAR PRADESH</c:v>
                </c:pt>
                <c:pt idx="15">
                  <c:v>PUNJAB</c:v>
                </c:pt>
                <c:pt idx="16">
                  <c:v>MADHYA PRADESH</c:v>
                </c:pt>
                <c:pt idx="17">
                  <c:v>WEST BENGAL</c:v>
                </c:pt>
                <c:pt idx="18">
                  <c:v>JAMMU AND KASHMIR</c:v>
                </c:pt>
                <c:pt idx="19">
                  <c:v>RAJASTHAN</c:v>
                </c:pt>
                <c:pt idx="20">
                  <c:v>UTTARAKHAND</c:v>
                </c:pt>
                <c:pt idx="21">
                  <c:v>TAMIL NADU</c:v>
                </c:pt>
                <c:pt idx="22">
                  <c:v>ODISHA</c:v>
                </c:pt>
                <c:pt idx="23">
                  <c:v>ANDHRA PRADESH</c:v>
                </c:pt>
                <c:pt idx="24">
                  <c:v>PUDUCHERRY</c:v>
                </c:pt>
                <c:pt idx="25">
                  <c:v>SIKKIM</c:v>
                </c:pt>
                <c:pt idx="26">
                  <c:v>CHHATTISGARH</c:v>
                </c:pt>
                <c:pt idx="27">
                  <c:v>MEGHALAYA</c:v>
                </c:pt>
                <c:pt idx="28">
                  <c:v>ARUNACHAL PRADESH</c:v>
                </c:pt>
                <c:pt idx="29">
                  <c:v>TRIPURA</c:v>
                </c:pt>
                <c:pt idx="30">
                  <c:v>MANIPUR</c:v>
                </c:pt>
                <c:pt idx="31">
                  <c:v>LADAKH</c:v>
                </c:pt>
                <c:pt idx="32">
                  <c:v>MIZORAM</c:v>
                </c:pt>
                <c:pt idx="33">
                  <c:v>NAGALAND</c:v>
                </c:pt>
              </c:strCache>
            </c:strRef>
          </c:cat>
          <c:val>
            <c:numRef>
              <c:f>'Worker Participation'!$C$4:$C$37</c:f>
              <c:numCache>
                <c:formatCode>0.00%</c:formatCode>
                <c:ptCount val="34"/>
                <c:pt idx="0">
                  <c:v>6.0357315306615159E-5</c:v>
                </c:pt>
                <c:pt idx="1">
                  <c:v>2.9227053140096618E-2</c:v>
                </c:pt>
                <c:pt idx="2">
                  <c:v>0.19854576542274643</c:v>
                </c:pt>
                <c:pt idx="3">
                  <c:v>0.29822506427435863</c:v>
                </c:pt>
                <c:pt idx="4">
                  <c:v>0.3415662888229718</c:v>
                </c:pt>
                <c:pt idx="5">
                  <c:v>0.40942721100599033</c:v>
                </c:pt>
                <c:pt idx="6">
                  <c:v>0.48937557551276623</c:v>
                </c:pt>
                <c:pt idx="7">
                  <c:v>0.50036490169850933</c:v>
                </c:pt>
                <c:pt idx="8">
                  <c:v>0.54231032437648596</c:v>
                </c:pt>
                <c:pt idx="9">
                  <c:v>0.5692359674691515</c:v>
                </c:pt>
                <c:pt idx="10">
                  <c:v>0.57452633586232349</c:v>
                </c:pt>
                <c:pt idx="11">
                  <c:v>0.65532227338553861</c:v>
                </c:pt>
                <c:pt idx="12">
                  <c:v>0.66630453836799175</c:v>
                </c:pt>
                <c:pt idx="13">
                  <c:v>0.67196887952976914</c:v>
                </c:pt>
                <c:pt idx="14">
                  <c:v>0.67424130426222373</c:v>
                </c:pt>
                <c:pt idx="15">
                  <c:v>0.67831074476525122</c:v>
                </c:pt>
                <c:pt idx="16">
                  <c:v>0.71610742831937535</c:v>
                </c:pt>
                <c:pt idx="17">
                  <c:v>0.73507288260264747</c:v>
                </c:pt>
                <c:pt idx="18">
                  <c:v>0.74438774284434417</c:v>
                </c:pt>
                <c:pt idx="19">
                  <c:v>0.76869360977513101</c:v>
                </c:pt>
                <c:pt idx="20">
                  <c:v>0.77112113198823884</c:v>
                </c:pt>
                <c:pt idx="21">
                  <c:v>0.8014407837884836</c:v>
                </c:pt>
                <c:pt idx="22">
                  <c:v>0.81748783206913089</c:v>
                </c:pt>
                <c:pt idx="23">
                  <c:v>0.83140339971383503</c:v>
                </c:pt>
                <c:pt idx="24">
                  <c:v>0.8388936874520373</c:v>
                </c:pt>
                <c:pt idx="25">
                  <c:v>0.86090463577531617</c:v>
                </c:pt>
                <c:pt idx="26">
                  <c:v>0.86969149939101942</c:v>
                </c:pt>
                <c:pt idx="27">
                  <c:v>0.91884160399211379</c:v>
                </c:pt>
                <c:pt idx="28">
                  <c:v>0.93553676830035981</c:v>
                </c:pt>
                <c:pt idx="29">
                  <c:v>0.95196986155889374</c:v>
                </c:pt>
                <c:pt idx="30">
                  <c:v>0.95703021077247941</c:v>
                </c:pt>
                <c:pt idx="31">
                  <c:v>0.96862454997786118</c:v>
                </c:pt>
                <c:pt idx="32">
                  <c:v>0.96874106840045993</c:v>
                </c:pt>
                <c:pt idx="33">
                  <c:v>0.97459394978565017</c:v>
                </c:pt>
              </c:numCache>
            </c:numRef>
          </c:val>
          <c:extLst>
            <c:ext xmlns:c16="http://schemas.microsoft.com/office/drawing/2014/chart" uri="{C3380CC4-5D6E-409C-BE32-E72D297353CC}">
              <c16:uniqueId val="{00000000-1DB4-47E8-8FD5-14274EC4B37F}"/>
            </c:ext>
          </c:extLst>
        </c:ser>
        <c:dLbls>
          <c:showLegendKey val="0"/>
          <c:showVal val="0"/>
          <c:showCatName val="0"/>
          <c:showSerName val="0"/>
          <c:showPercent val="0"/>
          <c:showBubbleSize val="0"/>
        </c:dLbls>
        <c:gapWidth val="182"/>
        <c:axId val="430872911"/>
        <c:axId val="1892698111"/>
      </c:barChart>
      <c:catAx>
        <c:axId val="4308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92698111"/>
        <c:crosses val="autoZero"/>
        <c:auto val="1"/>
        <c:lblAlgn val="ctr"/>
        <c:lblOffset val="100"/>
        <c:noMultiLvlLbl val="0"/>
      </c:catAx>
      <c:valAx>
        <c:axId val="1892698111"/>
        <c:scaling>
          <c:orientation val="minMax"/>
          <c:max val="1"/>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3087291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'Worker Participation'!$N$3</c:f>
              <c:strCache>
                <c:ptCount val="1"/>
                <c:pt idx="0">
                  <c:v>Total</c:v>
                </c:pt>
              </c:strCache>
            </c:strRef>
          </c:tx>
          <c:spPr>
            <a:solidFill>
              <a:schemeClr val="accent1"/>
            </a:solidFill>
            <a:ln>
              <a:noFill/>
            </a:ln>
            <a:effectLst/>
          </c:spPr>
          <c:invertIfNegative val="0"/>
          <c:cat>
            <c:strRef>
              <c:f>'Worker Participation'!$M$4:$M$37</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TRIPURA</c:v>
                </c:pt>
                <c:pt idx="13">
                  <c:v>HARYANA</c:v>
                </c:pt>
                <c:pt idx="14">
                  <c:v>UTTARAKHAND</c:v>
                </c:pt>
                <c:pt idx="15">
                  <c:v>JAMMU AND KASHMIR</c:v>
                </c:pt>
                <c:pt idx="16">
                  <c:v>HIMACHAL PRADESH</c:v>
                </c:pt>
                <c:pt idx="17">
                  <c:v>PUNJAB</c:v>
                </c:pt>
                <c:pt idx="18">
                  <c:v>KERALA</c:v>
                </c:pt>
                <c:pt idx="19">
                  <c:v>GUJARAT</c:v>
                </c:pt>
                <c:pt idx="20">
                  <c:v>JHARKHAND</c:v>
                </c:pt>
                <c:pt idx="21">
                  <c:v>CHHATTISGARH</c:v>
                </c:pt>
                <c:pt idx="22">
                  <c:v>TELANGANA</c:v>
                </c:pt>
                <c:pt idx="23">
                  <c:v>ASSAM</c:v>
                </c:pt>
                <c:pt idx="24">
                  <c:v>ODISHA</c:v>
                </c:pt>
                <c:pt idx="25">
                  <c:v>MAHARASHTRA</c:v>
                </c:pt>
                <c:pt idx="26">
                  <c:v>ANDHRA PRADESH</c:v>
                </c:pt>
                <c:pt idx="27">
                  <c:v>KARNATAKA</c:v>
                </c:pt>
                <c:pt idx="28">
                  <c:v>BIHAR</c:v>
                </c:pt>
                <c:pt idx="29">
                  <c:v>TAMIL NADU</c:v>
                </c:pt>
                <c:pt idx="30">
                  <c:v>MADHYA PRADESH</c:v>
                </c:pt>
                <c:pt idx="31">
                  <c:v>UTTAR PRADESH</c:v>
                </c:pt>
                <c:pt idx="32">
                  <c:v>RAJASTHAN</c:v>
                </c:pt>
                <c:pt idx="33">
                  <c:v>WEST BENGAL</c:v>
                </c:pt>
              </c:strCache>
            </c:strRef>
          </c:cat>
          <c:val>
            <c:numRef>
              <c:f>'Worker Participation'!$N$4:$N$37</c:f>
              <c:numCache>
                <c:formatCode>General</c:formatCode>
                <c:ptCount val="34"/>
                <c:pt idx="0">
                  <c:v>8</c:v>
                </c:pt>
                <c:pt idx="1">
                  <c:v>1936</c:v>
                </c:pt>
                <c:pt idx="2">
                  <c:v>40364</c:v>
                </c:pt>
                <c:pt idx="3">
                  <c:v>75788</c:v>
                </c:pt>
                <c:pt idx="4">
                  <c:v>200884</c:v>
                </c:pt>
                <c:pt idx="5">
                  <c:v>363564</c:v>
                </c:pt>
                <c:pt idx="6">
                  <c:v>494312</c:v>
                </c:pt>
                <c:pt idx="7">
                  <c:v>926016</c:v>
                </c:pt>
                <c:pt idx="8">
                  <c:v>1859084</c:v>
                </c:pt>
                <c:pt idx="9">
                  <c:v>3017188</c:v>
                </c:pt>
                <c:pt idx="10">
                  <c:v>3832492</c:v>
                </c:pt>
                <c:pt idx="11">
                  <c:v>4516184</c:v>
                </c:pt>
                <c:pt idx="12">
                  <c:v>4582628</c:v>
                </c:pt>
                <c:pt idx="13">
                  <c:v>4866388</c:v>
                </c:pt>
                <c:pt idx="14">
                  <c:v>5450520</c:v>
                </c:pt>
                <c:pt idx="15">
                  <c:v>7233808</c:v>
                </c:pt>
                <c:pt idx="16">
                  <c:v>7313892</c:v>
                </c:pt>
                <c:pt idx="17">
                  <c:v>7490748</c:v>
                </c:pt>
                <c:pt idx="18">
                  <c:v>13362076</c:v>
                </c:pt>
                <c:pt idx="19">
                  <c:v>15212392</c:v>
                </c:pt>
                <c:pt idx="20">
                  <c:v>21122000</c:v>
                </c:pt>
                <c:pt idx="21">
                  <c:v>29649588</c:v>
                </c:pt>
                <c:pt idx="22">
                  <c:v>30144576</c:v>
                </c:pt>
                <c:pt idx="23">
                  <c:v>31738380</c:v>
                </c:pt>
                <c:pt idx="24">
                  <c:v>33429888</c:v>
                </c:pt>
                <c:pt idx="25">
                  <c:v>37598340</c:v>
                </c:pt>
                <c:pt idx="26">
                  <c:v>41649484</c:v>
                </c:pt>
                <c:pt idx="27">
                  <c:v>42509360</c:v>
                </c:pt>
                <c:pt idx="28">
                  <c:v>43272640</c:v>
                </c:pt>
                <c:pt idx="29">
                  <c:v>44036976</c:v>
                </c:pt>
                <c:pt idx="30">
                  <c:v>53172928</c:v>
                </c:pt>
                <c:pt idx="31">
                  <c:v>66522128</c:v>
                </c:pt>
                <c:pt idx="32">
                  <c:v>72507912</c:v>
                </c:pt>
                <c:pt idx="33">
                  <c:v>73722164</c:v>
                </c:pt>
              </c:numCache>
            </c:numRef>
          </c:val>
          <c:extLst>
            <c:ext xmlns:c16="http://schemas.microsoft.com/office/drawing/2014/chart" uri="{C3380CC4-5D6E-409C-BE32-E72D297353CC}">
              <c16:uniqueId val="{00000000-7075-4FA6-ABD0-94EC37DD36F0}"/>
            </c:ext>
          </c:extLst>
        </c:ser>
        <c:dLbls>
          <c:showLegendKey val="0"/>
          <c:showVal val="0"/>
          <c:showCatName val="0"/>
          <c:showSerName val="0"/>
          <c:showPercent val="0"/>
          <c:showBubbleSize val="0"/>
        </c:dLbls>
        <c:gapWidth val="219"/>
        <c:overlap val="-27"/>
        <c:axId val="1605074639"/>
        <c:axId val="1605070799"/>
      </c:barChart>
      <c:catAx>
        <c:axId val="160507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70799"/>
        <c:crosses val="autoZero"/>
        <c:auto val="1"/>
        <c:lblAlgn val="ctr"/>
        <c:lblOffset val="100"/>
        <c:noMultiLvlLbl val="0"/>
      </c:catAx>
      <c:valAx>
        <c:axId val="160507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74639"/>
        <c:crosses val="autoZero"/>
        <c:crossBetween val="between"/>
        <c:majorUnit val="4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'Worker Participation'!$B$45:$B$51</c:f>
              <c:strCache>
                <c:ptCount val="7"/>
                <c:pt idx="0">
                  <c:v>MEGHALAYA</c:v>
                </c:pt>
                <c:pt idx="1">
                  <c:v>ARUNACHAL PRADESH</c:v>
                </c:pt>
                <c:pt idx="2">
                  <c:v>TRIPURA</c:v>
                </c:pt>
                <c:pt idx="3">
                  <c:v>MANIPUR</c:v>
                </c:pt>
                <c:pt idx="4">
                  <c:v>LADAKH</c:v>
                </c:pt>
                <c:pt idx="5">
                  <c:v>MIZORAM</c:v>
                </c:pt>
                <c:pt idx="6">
                  <c:v>NAGALAND</c:v>
                </c:pt>
              </c:strCache>
            </c:strRef>
          </c:cat>
          <c:val>
            <c:numRef>
              <c:f>'Worker Participation'!$C$45:$C$51</c:f>
              <c:numCache>
                <c:formatCode>0.00%</c:formatCode>
                <c:ptCount val="7"/>
                <c:pt idx="0">
                  <c:v>0.91884160399211379</c:v>
                </c:pt>
                <c:pt idx="1">
                  <c:v>0.93553676830035981</c:v>
                </c:pt>
                <c:pt idx="2">
                  <c:v>0.95196986155889374</c:v>
                </c:pt>
                <c:pt idx="3">
                  <c:v>0.95703021077247941</c:v>
                </c:pt>
                <c:pt idx="4">
                  <c:v>0.96862454997786118</c:v>
                </c:pt>
                <c:pt idx="5">
                  <c:v>0.96874106840045993</c:v>
                </c:pt>
                <c:pt idx="6">
                  <c:v>0.97459394978565017</c:v>
                </c:pt>
              </c:numCache>
            </c:numRef>
          </c:val>
          <c:extLst>
            <c:ext xmlns:c16="http://schemas.microsoft.com/office/drawing/2014/chart" uri="{C3380CC4-5D6E-409C-BE32-E72D297353CC}">
              <c16:uniqueId val="{00000000-75F9-461E-8945-76773889696F}"/>
            </c:ext>
          </c:extLst>
        </c:ser>
        <c:dLbls>
          <c:dLblPos val="outEnd"/>
          <c:showLegendKey val="0"/>
          <c:showVal val="1"/>
          <c:showCatName val="0"/>
          <c:showSerName val="0"/>
          <c:showPercent val="0"/>
          <c:showBubbleSize val="0"/>
        </c:dLbls>
        <c:gapWidth val="182"/>
        <c:axId val="1470891232"/>
        <c:axId val="1470901792"/>
      </c:barChart>
      <c:catAx>
        <c:axId val="1470891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01792"/>
        <c:crosses val="autoZero"/>
        <c:auto val="1"/>
        <c:lblAlgn val="ctr"/>
        <c:lblOffset val="100"/>
        <c:noMultiLvlLbl val="0"/>
      </c:catAx>
      <c:valAx>
        <c:axId val="1470901792"/>
        <c:scaling>
          <c:orientation val="minMax"/>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891232"/>
        <c:crosses val="autoZero"/>
        <c:crossBetween val="between"/>
        <c:majorUnit val="0.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'Worker Participation'!$B$64:$B$70</c:f>
              <c:strCache>
                <c:ptCount val="7"/>
                <c:pt idx="0">
                  <c:v>DN HAVELI AND DD</c:v>
                </c:pt>
                <c:pt idx="1">
                  <c:v>LAKSHADWEEP</c:v>
                </c:pt>
                <c:pt idx="2">
                  <c:v>GOA</c:v>
                </c:pt>
                <c:pt idx="3">
                  <c:v>ANDAMAN AND NICOBAR</c:v>
                </c:pt>
                <c:pt idx="4">
                  <c:v>MAHARASHTRA</c:v>
                </c:pt>
                <c:pt idx="5">
                  <c:v>GUJARAT</c:v>
                </c:pt>
                <c:pt idx="6">
                  <c:v>HARYANA</c:v>
                </c:pt>
              </c:strCache>
            </c:strRef>
          </c:cat>
          <c:val>
            <c:numRef>
              <c:f>'Worker Participation'!$C$64:$C$70</c:f>
              <c:numCache>
                <c:formatCode>0.00%</c:formatCode>
                <c:ptCount val="7"/>
                <c:pt idx="0">
                  <c:v>6.0357315306615159E-5</c:v>
                </c:pt>
                <c:pt idx="1">
                  <c:v>2.9227053140096618E-2</c:v>
                </c:pt>
                <c:pt idx="2">
                  <c:v>0.19854576542274643</c:v>
                </c:pt>
                <c:pt idx="3">
                  <c:v>0.29822506427435863</c:v>
                </c:pt>
                <c:pt idx="4">
                  <c:v>0.3415662888229718</c:v>
                </c:pt>
                <c:pt idx="5">
                  <c:v>0.40942721100599033</c:v>
                </c:pt>
                <c:pt idx="6">
                  <c:v>0.48937557551276623</c:v>
                </c:pt>
              </c:numCache>
            </c:numRef>
          </c:val>
          <c:extLst>
            <c:ext xmlns:c16="http://schemas.microsoft.com/office/drawing/2014/chart" uri="{C3380CC4-5D6E-409C-BE32-E72D297353CC}">
              <c16:uniqueId val="{00000000-B7AA-4CB1-9A43-C9FB6F12148B}"/>
            </c:ext>
          </c:extLst>
        </c:ser>
        <c:dLbls>
          <c:dLblPos val="outEnd"/>
          <c:showLegendKey val="0"/>
          <c:showVal val="1"/>
          <c:showCatName val="0"/>
          <c:showSerName val="0"/>
          <c:showPercent val="0"/>
          <c:showBubbleSize val="0"/>
        </c:dLbls>
        <c:gapWidth val="182"/>
        <c:axId val="1548471648"/>
        <c:axId val="1548462528"/>
      </c:barChart>
      <c:catAx>
        <c:axId val="15484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62528"/>
        <c:crosses val="autoZero"/>
        <c:auto val="1"/>
        <c:lblAlgn val="ctr"/>
        <c:lblOffset val="100"/>
        <c:noMultiLvlLbl val="0"/>
      </c:catAx>
      <c:valAx>
        <c:axId val="1548462528"/>
        <c:scaling>
          <c:orientation val="minMax"/>
          <c:max val="1"/>
          <c:min val="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716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86141269622675E-2"/>
          <c:y val="4.2119335907415581E-2"/>
          <c:w val="0.6040348924777208"/>
          <c:h val="0.89704162333742854"/>
        </c:manualLayout>
      </c:layout>
      <c:doughnutChart>
        <c:varyColors val="1"/>
        <c:ser>
          <c:idx val="0"/>
          <c:order val="0"/>
          <c:dPt>
            <c:idx val="0"/>
            <c:bubble3D val="0"/>
            <c:spPr>
              <a:gradFill flip="none" rotWithShape="1">
                <a:gsLst>
                  <a:gs pos="22000">
                    <a:schemeClr val="accent6">
                      <a:alpha val="71000"/>
                      <a:lumMod val="67000"/>
                    </a:schemeClr>
                  </a:gs>
                  <a:gs pos="0">
                    <a:schemeClr val="accent1">
                      <a:lumMod val="50000"/>
                    </a:schemeClr>
                  </a:gs>
                  <a:gs pos="97000">
                    <a:schemeClr val="accent1">
                      <a:lumMod val="70000"/>
                    </a:schemeClr>
                  </a:gs>
                </a:gsLst>
                <a:lin ang="3900000" scaled="0"/>
                <a:tileRect/>
              </a:gradFill>
              <a:ln w="19050">
                <a:noFill/>
              </a:ln>
              <a:effectLst/>
            </c:spPr>
            <c:extLst>
              <c:ext xmlns:c16="http://schemas.microsoft.com/office/drawing/2014/chart" uri="{C3380CC4-5D6E-409C-BE32-E72D297353CC}">
                <c16:uniqueId val="{00000001-BE2F-4BE2-B7FE-5C46AB148818}"/>
              </c:ext>
            </c:extLst>
          </c:dPt>
          <c:dPt>
            <c:idx val="1"/>
            <c:bubble3D val="0"/>
            <c:spPr>
              <a:gradFill>
                <a:gsLst>
                  <a:gs pos="0">
                    <a:srgbClr val="FFA500">
                      <a:alpha val="88000"/>
                      <a:lumMod val="90000"/>
                      <a:lumOff val="10000"/>
                    </a:srgbClr>
                  </a:gs>
                  <a:gs pos="97000">
                    <a:schemeClr val="accent2">
                      <a:lumMod val="50000"/>
                    </a:schemeClr>
                  </a:gs>
                </a:gsLst>
                <a:lin ang="4500000" scaled="0"/>
              </a:gradFill>
              <a:ln w="19050">
                <a:noFill/>
              </a:ln>
              <a:effectLst/>
            </c:spPr>
            <c:extLst>
              <c:ext xmlns:c16="http://schemas.microsoft.com/office/drawing/2014/chart" uri="{C3380CC4-5D6E-409C-BE32-E72D297353CC}">
                <c16:uniqueId val="{00000003-BE2F-4BE2-B7FE-5C46AB148818}"/>
              </c:ext>
            </c:extLst>
          </c:dPt>
          <c:cat>
            <c:strRef>
              <c:f>'Job Card Utilization rate'!$B$89:$B$90</c:f>
              <c:strCache>
                <c:ptCount val="2"/>
                <c:pt idx="0">
                  <c:v>Active Workers</c:v>
                </c:pt>
                <c:pt idx="1">
                  <c:v>Total Workers</c:v>
                </c:pt>
              </c:strCache>
            </c:strRef>
          </c:cat>
          <c:val>
            <c:numRef>
              <c:f>'Job Card Utilization rate'!$C$89:$C$90</c:f>
              <c:numCache>
                <c:formatCode>General</c:formatCode>
                <c:ptCount val="2"/>
                <c:pt idx="0">
                  <c:v>66522128</c:v>
                </c:pt>
                <c:pt idx="1">
                  <c:v>94285624</c:v>
                </c:pt>
              </c:numCache>
            </c:numRef>
          </c:val>
          <c:extLst>
            <c:ext xmlns:c16="http://schemas.microsoft.com/office/drawing/2014/chart" uri="{C3380CC4-5D6E-409C-BE32-E72D297353CC}">
              <c16:uniqueId val="{00000004-BE2F-4BE2-B7FE-5C46AB1488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720742315007458"/>
          <c:y val="0.42535738790839728"/>
          <c:w val="0.18770773393679305"/>
          <c:h val="0.35988190372028345"/>
        </c:manualLayout>
      </c:layout>
      <c:overlay val="0"/>
      <c:spPr>
        <a:noFill/>
        <a:ln>
          <a:noFill/>
        </a:ln>
        <a:effectLst>
          <a:glow rad="12700">
            <a:schemeClr val="accent4">
              <a:satMod val="175000"/>
              <a:alpha val="40000"/>
            </a:schemeClr>
          </a:glow>
          <a:outerShdw blurRad="76200" dist="38100" dir="21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50000"/>
                </a:schemeClr>
              </a:gs>
              <a:gs pos="100000">
                <a:schemeClr val="accent6">
                  <a:lumMod val="55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Participation'!$C$44</c:f>
              <c:strCache>
                <c:ptCount val="1"/>
                <c:pt idx="0">
                  <c:v>Total</c:v>
                </c:pt>
              </c:strCache>
            </c:strRef>
          </c:tx>
          <c:spPr>
            <a:gradFill flip="none" rotWithShape="1">
              <a:gsLst>
                <a:gs pos="0">
                  <a:schemeClr val="accent6">
                    <a:lumMod val="50000"/>
                  </a:schemeClr>
                </a:gs>
                <a:gs pos="100000">
                  <a:schemeClr val="accent6">
                    <a:lumMod val="55000"/>
                  </a:schemeClr>
                </a:gs>
              </a:gsLst>
              <a:lin ang="540000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'Worker Participation'!$B$45:$B$51</c:f>
              <c:strCache>
                <c:ptCount val="7"/>
                <c:pt idx="0">
                  <c:v>MEGHALAYA</c:v>
                </c:pt>
                <c:pt idx="1">
                  <c:v>ARUNACHAL PRADESH</c:v>
                </c:pt>
                <c:pt idx="2">
                  <c:v>TRIPURA</c:v>
                </c:pt>
                <c:pt idx="3">
                  <c:v>MANIPUR</c:v>
                </c:pt>
                <c:pt idx="4">
                  <c:v>LADAKH</c:v>
                </c:pt>
                <c:pt idx="5">
                  <c:v>MIZORAM</c:v>
                </c:pt>
                <c:pt idx="6">
                  <c:v>NAGALAND</c:v>
                </c:pt>
              </c:strCache>
            </c:strRef>
          </c:cat>
          <c:val>
            <c:numRef>
              <c:f>'Worker Participation'!$C$45:$C$51</c:f>
              <c:numCache>
                <c:formatCode>0.00%</c:formatCode>
                <c:ptCount val="7"/>
                <c:pt idx="0">
                  <c:v>0.91884160399211379</c:v>
                </c:pt>
                <c:pt idx="1">
                  <c:v>0.93553676830035981</c:v>
                </c:pt>
                <c:pt idx="2">
                  <c:v>0.95196986155889374</c:v>
                </c:pt>
                <c:pt idx="3">
                  <c:v>0.95703021077247941</c:v>
                </c:pt>
                <c:pt idx="4">
                  <c:v>0.96862454997786118</c:v>
                </c:pt>
                <c:pt idx="5">
                  <c:v>0.96874106840045993</c:v>
                </c:pt>
                <c:pt idx="6">
                  <c:v>0.97459394978565017</c:v>
                </c:pt>
              </c:numCache>
            </c:numRef>
          </c:val>
          <c:extLst>
            <c:ext xmlns:c16="http://schemas.microsoft.com/office/drawing/2014/chart" uri="{C3380CC4-5D6E-409C-BE32-E72D297353CC}">
              <c16:uniqueId val="{00000000-CA6A-46EF-844F-80821C4E8F20}"/>
            </c:ext>
          </c:extLst>
        </c:ser>
        <c:dLbls>
          <c:dLblPos val="outEnd"/>
          <c:showLegendKey val="0"/>
          <c:showVal val="1"/>
          <c:showCatName val="0"/>
          <c:showSerName val="0"/>
          <c:showPercent val="0"/>
          <c:showBubbleSize val="0"/>
        </c:dLbls>
        <c:gapWidth val="182"/>
        <c:axId val="1470891232"/>
        <c:axId val="1470901792"/>
      </c:barChart>
      <c:catAx>
        <c:axId val="1470891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470901792"/>
        <c:crosses val="autoZero"/>
        <c:auto val="1"/>
        <c:lblAlgn val="ctr"/>
        <c:lblOffset val="100"/>
        <c:noMultiLvlLbl val="0"/>
      </c:catAx>
      <c:valAx>
        <c:axId val="1470901792"/>
        <c:scaling>
          <c:orientation val="minMax"/>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470891232"/>
        <c:crosses val="autoZero"/>
        <c:crossBetween val="between"/>
        <c:majorUnit val="0.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rate'!$M$1</c:f>
              <c:strCache>
                <c:ptCount val="1"/>
                <c:pt idx="0">
                  <c:v>No. of JobCards issued</c:v>
                </c:pt>
              </c:strCache>
            </c:strRef>
          </c:tx>
          <c:spPr>
            <a:solidFill>
              <a:schemeClr val="accent1"/>
            </a:solidFill>
            <a:ln>
              <a:noFill/>
            </a:ln>
            <a:effectLst/>
          </c:spPr>
          <c:invertIfNegative val="0"/>
          <c:cat>
            <c:strRef>
              <c:f>'Job Card Utilization rate'!$L$2:$L$35</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HARYANA</c:v>
                </c:pt>
                <c:pt idx="13">
                  <c:v>TRIPURA</c:v>
                </c:pt>
                <c:pt idx="14">
                  <c:v>UTTARAKHAND</c:v>
                </c:pt>
                <c:pt idx="15">
                  <c:v>HIMACHAL PRADESH</c:v>
                </c:pt>
                <c:pt idx="16">
                  <c:v>JAMMU AND KASHMIR</c:v>
                </c:pt>
                <c:pt idx="17">
                  <c:v>PUNJAB</c:v>
                </c:pt>
                <c:pt idx="18">
                  <c:v>GUJARAT</c:v>
                </c:pt>
                <c:pt idx="19">
                  <c:v>KERALA</c:v>
                </c:pt>
                <c:pt idx="20">
                  <c:v>CHHATTISGARH</c:v>
                </c:pt>
                <c:pt idx="21">
                  <c:v>JHARKHAND</c:v>
                </c:pt>
                <c:pt idx="22">
                  <c:v>TELANGANA</c:v>
                </c:pt>
                <c:pt idx="23">
                  <c:v>MAHARASHTRA</c:v>
                </c:pt>
                <c:pt idx="24">
                  <c:v>ASSAM</c:v>
                </c:pt>
                <c:pt idx="25">
                  <c:v>KARNATAKA</c:v>
                </c:pt>
                <c:pt idx="26">
                  <c:v>ODISHA</c:v>
                </c:pt>
                <c:pt idx="27">
                  <c:v>ANDHRA PRADESH</c:v>
                </c:pt>
                <c:pt idx="28">
                  <c:v>MADHYA PRADESH</c:v>
                </c:pt>
                <c:pt idx="29">
                  <c:v>TAMIL NADU</c:v>
                </c:pt>
                <c:pt idx="30">
                  <c:v>BIHAR</c:v>
                </c:pt>
                <c:pt idx="31">
                  <c:v>RAJASTHAN</c:v>
                </c:pt>
                <c:pt idx="32">
                  <c:v>WEST BENGAL</c:v>
                </c:pt>
                <c:pt idx="33">
                  <c:v>UTTAR PRADESH</c:v>
                </c:pt>
              </c:strCache>
            </c:strRef>
          </c:cat>
          <c:val>
            <c:numRef>
              <c:f>'Job Card Utilization rate'!$M$2:$M$35</c:f>
              <c:numCache>
                <c:formatCode>General</c:formatCode>
                <c:ptCount val="34"/>
                <c:pt idx="0">
                  <c:v>84576</c:v>
                </c:pt>
                <c:pt idx="1">
                  <c:v>34092</c:v>
                </c:pt>
                <c:pt idx="2">
                  <c:v>157628</c:v>
                </c:pt>
                <c:pt idx="3">
                  <c:v>153680</c:v>
                </c:pt>
                <c:pt idx="4">
                  <c:v>150832</c:v>
                </c:pt>
                <c:pt idx="5">
                  <c:v>295704</c:v>
                </c:pt>
                <c:pt idx="6">
                  <c:v>354740</c:v>
                </c:pt>
                <c:pt idx="7">
                  <c:v>907976</c:v>
                </c:pt>
                <c:pt idx="8">
                  <c:v>1272260</c:v>
                </c:pt>
                <c:pt idx="9">
                  <c:v>1873280</c:v>
                </c:pt>
                <c:pt idx="10">
                  <c:v>2426784</c:v>
                </c:pt>
                <c:pt idx="11">
                  <c:v>2658660</c:v>
                </c:pt>
                <c:pt idx="12">
                  <c:v>5213516</c:v>
                </c:pt>
                <c:pt idx="13">
                  <c:v>2727944</c:v>
                </c:pt>
                <c:pt idx="14">
                  <c:v>4348920</c:v>
                </c:pt>
                <c:pt idx="15">
                  <c:v>5979720</c:v>
                </c:pt>
                <c:pt idx="16">
                  <c:v>5591704</c:v>
                </c:pt>
                <c:pt idx="17">
                  <c:v>7273748</c:v>
                </c:pt>
                <c:pt idx="18">
                  <c:v>17936212</c:v>
                </c:pt>
                <c:pt idx="19">
                  <c:v>16697276</c:v>
                </c:pt>
                <c:pt idx="20">
                  <c:v>15871996</c:v>
                </c:pt>
                <c:pt idx="21">
                  <c:v>25302696</c:v>
                </c:pt>
                <c:pt idx="22">
                  <c:v>22362800</c:v>
                </c:pt>
                <c:pt idx="23">
                  <c:v>52867668</c:v>
                </c:pt>
                <c:pt idx="24">
                  <c:v>28186052</c:v>
                </c:pt>
                <c:pt idx="25">
                  <c:v>32048480</c:v>
                </c:pt>
                <c:pt idx="26">
                  <c:v>23124780</c:v>
                </c:pt>
                <c:pt idx="27">
                  <c:v>28680204</c:v>
                </c:pt>
                <c:pt idx="28">
                  <c:v>36354320</c:v>
                </c:pt>
                <c:pt idx="29">
                  <c:v>37733468</c:v>
                </c:pt>
                <c:pt idx="30">
                  <c:v>71949380</c:v>
                </c:pt>
                <c:pt idx="31">
                  <c:v>46248232</c:v>
                </c:pt>
                <c:pt idx="32">
                  <c:v>54875940</c:v>
                </c:pt>
                <c:pt idx="33">
                  <c:v>71241956</c:v>
                </c:pt>
              </c:numCache>
            </c:numRef>
          </c:val>
          <c:extLst>
            <c:ext xmlns:c16="http://schemas.microsoft.com/office/drawing/2014/chart" uri="{C3380CC4-5D6E-409C-BE32-E72D297353CC}">
              <c16:uniqueId val="{00000000-6333-4BA1-94D9-9FDBE2B8A523}"/>
            </c:ext>
          </c:extLst>
        </c:ser>
        <c:ser>
          <c:idx val="1"/>
          <c:order val="1"/>
          <c:tx>
            <c:strRef>
              <c:f>'Job Card Utilization rate'!$N$1</c:f>
              <c:strCache>
                <c:ptCount val="1"/>
                <c:pt idx="0">
                  <c:v>Active Job Cards</c:v>
                </c:pt>
              </c:strCache>
            </c:strRef>
          </c:tx>
          <c:spPr>
            <a:solidFill>
              <a:schemeClr val="accent2"/>
            </a:solidFill>
            <a:ln>
              <a:noFill/>
            </a:ln>
            <a:effectLst/>
          </c:spPr>
          <c:invertIfNegative val="0"/>
          <c:cat>
            <c:strRef>
              <c:f>'Job Card Utilization rate'!$L$2:$L$35</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HARYANA</c:v>
                </c:pt>
                <c:pt idx="13">
                  <c:v>TRIPURA</c:v>
                </c:pt>
                <c:pt idx="14">
                  <c:v>UTTARAKHAND</c:v>
                </c:pt>
                <c:pt idx="15">
                  <c:v>HIMACHAL PRADESH</c:v>
                </c:pt>
                <c:pt idx="16">
                  <c:v>JAMMU AND KASHMIR</c:v>
                </c:pt>
                <c:pt idx="17">
                  <c:v>PUNJAB</c:v>
                </c:pt>
                <c:pt idx="18">
                  <c:v>GUJARAT</c:v>
                </c:pt>
                <c:pt idx="19">
                  <c:v>KERALA</c:v>
                </c:pt>
                <c:pt idx="20">
                  <c:v>CHHATTISGARH</c:v>
                </c:pt>
                <c:pt idx="21">
                  <c:v>JHARKHAND</c:v>
                </c:pt>
                <c:pt idx="22">
                  <c:v>TELANGANA</c:v>
                </c:pt>
                <c:pt idx="23">
                  <c:v>MAHARASHTRA</c:v>
                </c:pt>
                <c:pt idx="24">
                  <c:v>ASSAM</c:v>
                </c:pt>
                <c:pt idx="25">
                  <c:v>KARNATAKA</c:v>
                </c:pt>
                <c:pt idx="26">
                  <c:v>ODISHA</c:v>
                </c:pt>
                <c:pt idx="27">
                  <c:v>ANDHRA PRADESH</c:v>
                </c:pt>
                <c:pt idx="28">
                  <c:v>MADHYA PRADESH</c:v>
                </c:pt>
                <c:pt idx="29">
                  <c:v>TAMIL NADU</c:v>
                </c:pt>
                <c:pt idx="30">
                  <c:v>BIHAR</c:v>
                </c:pt>
                <c:pt idx="31">
                  <c:v>RAJASTHAN</c:v>
                </c:pt>
                <c:pt idx="32">
                  <c:v>WEST BENGAL</c:v>
                </c:pt>
                <c:pt idx="33">
                  <c:v>UTTAR PRADESH</c:v>
                </c:pt>
              </c:strCache>
            </c:strRef>
          </c:cat>
          <c:val>
            <c:numRef>
              <c:f>'Job Card Utilization rate'!$N$2:$N$35</c:f>
              <c:numCache>
                <c:formatCode>General</c:formatCode>
                <c:ptCount val="34"/>
                <c:pt idx="0">
                  <c:v>4</c:v>
                </c:pt>
                <c:pt idx="1">
                  <c:v>868</c:v>
                </c:pt>
                <c:pt idx="2">
                  <c:v>29244</c:v>
                </c:pt>
                <c:pt idx="3">
                  <c:v>43616</c:v>
                </c:pt>
                <c:pt idx="4">
                  <c:v>144956</c:v>
                </c:pt>
                <c:pt idx="5">
                  <c:v>236076</c:v>
                </c:pt>
                <c:pt idx="6">
                  <c:v>297876</c:v>
                </c:pt>
                <c:pt idx="7">
                  <c:v>863540</c:v>
                </c:pt>
                <c:pt idx="8">
                  <c:v>1177232</c:v>
                </c:pt>
                <c:pt idx="9">
                  <c:v>1811904</c:v>
                </c:pt>
                <c:pt idx="10">
                  <c:v>2313964</c:v>
                </c:pt>
                <c:pt idx="11">
                  <c:v>2399972</c:v>
                </c:pt>
                <c:pt idx="12">
                  <c:v>2559312</c:v>
                </c:pt>
                <c:pt idx="13">
                  <c:v>2572364</c:v>
                </c:pt>
                <c:pt idx="14">
                  <c:v>3167188</c:v>
                </c:pt>
                <c:pt idx="15">
                  <c:v>3733172</c:v>
                </c:pt>
                <c:pt idx="16">
                  <c:v>4091608</c:v>
                </c:pt>
                <c:pt idx="17">
                  <c:v>4735892</c:v>
                </c:pt>
                <c:pt idx="18">
                  <c:v>7191908</c:v>
                </c:pt>
                <c:pt idx="19">
                  <c:v>8385828</c:v>
                </c:pt>
                <c:pt idx="20">
                  <c:v>13160208</c:v>
                </c:pt>
                <c:pt idx="21">
                  <c:v>13875728</c:v>
                </c:pt>
                <c:pt idx="22">
                  <c:v>14127744</c:v>
                </c:pt>
                <c:pt idx="23">
                  <c:v>14480904</c:v>
                </c:pt>
                <c:pt idx="24">
                  <c:v>16736108</c:v>
                </c:pt>
                <c:pt idx="25">
                  <c:v>17930288</c:v>
                </c:pt>
                <c:pt idx="26">
                  <c:v>18426616</c:v>
                </c:pt>
                <c:pt idx="27">
                  <c:v>22721336</c:v>
                </c:pt>
                <c:pt idx="28">
                  <c:v>25953320</c:v>
                </c:pt>
                <c:pt idx="29">
                  <c:v>30199704</c:v>
                </c:pt>
                <c:pt idx="30">
                  <c:v>34044508</c:v>
                </c:pt>
                <c:pt idx="31">
                  <c:v>35534924</c:v>
                </c:pt>
                <c:pt idx="32">
                  <c:v>37064112</c:v>
                </c:pt>
                <c:pt idx="33">
                  <c:v>48181372</c:v>
                </c:pt>
              </c:numCache>
            </c:numRef>
          </c:val>
          <c:extLst>
            <c:ext xmlns:c16="http://schemas.microsoft.com/office/drawing/2014/chart" uri="{C3380CC4-5D6E-409C-BE32-E72D297353CC}">
              <c16:uniqueId val="{00000001-6333-4BA1-94D9-9FDBE2B8A523}"/>
            </c:ext>
          </c:extLst>
        </c:ser>
        <c:dLbls>
          <c:showLegendKey val="0"/>
          <c:showVal val="0"/>
          <c:showCatName val="0"/>
          <c:showSerName val="0"/>
          <c:showPercent val="0"/>
          <c:showBubbleSize val="0"/>
        </c:dLbls>
        <c:gapWidth val="182"/>
        <c:axId val="429608351"/>
        <c:axId val="429610751"/>
      </c:barChart>
      <c:catAx>
        <c:axId val="42960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29610751"/>
        <c:crosses val="autoZero"/>
        <c:auto val="1"/>
        <c:lblAlgn val="ctr"/>
        <c:lblOffset val="100"/>
        <c:noMultiLvlLbl val="0"/>
      </c:catAx>
      <c:valAx>
        <c:axId val="429610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29608351"/>
        <c:crosses val="autoZero"/>
        <c:crossBetween val="between"/>
        <c:majorUnit val="4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alpha val="68000"/>
                  <a:lumMod val="47000"/>
                </a:schemeClr>
              </a:gs>
              <a:gs pos="100000">
                <a:schemeClr val="accent6">
                  <a:lumMod val="24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Participation'!$C$63</c:f>
              <c:strCache>
                <c:ptCount val="1"/>
                <c:pt idx="0">
                  <c:v>Total</c:v>
                </c:pt>
              </c:strCache>
            </c:strRef>
          </c:tx>
          <c:spPr>
            <a:gradFill>
              <a:gsLst>
                <a:gs pos="0">
                  <a:schemeClr val="accent6">
                    <a:alpha val="68000"/>
                    <a:lumMod val="47000"/>
                  </a:schemeClr>
                </a:gs>
                <a:gs pos="100000">
                  <a:schemeClr val="accent6">
                    <a:lumMod val="24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'Worker Participation'!$B$64:$B$70</c:f>
              <c:strCache>
                <c:ptCount val="7"/>
                <c:pt idx="0">
                  <c:v>DN HAVELI AND DD</c:v>
                </c:pt>
                <c:pt idx="1">
                  <c:v>LAKSHADWEEP</c:v>
                </c:pt>
                <c:pt idx="2">
                  <c:v>GOA</c:v>
                </c:pt>
                <c:pt idx="3">
                  <c:v>ANDAMAN AND NICOBAR</c:v>
                </c:pt>
                <c:pt idx="4">
                  <c:v>MAHARASHTRA</c:v>
                </c:pt>
                <c:pt idx="5">
                  <c:v>GUJARAT</c:v>
                </c:pt>
                <c:pt idx="6">
                  <c:v>HARYANA</c:v>
                </c:pt>
              </c:strCache>
            </c:strRef>
          </c:cat>
          <c:val>
            <c:numRef>
              <c:f>'Worker Participation'!$C$64:$C$70</c:f>
              <c:numCache>
                <c:formatCode>0.00%</c:formatCode>
                <c:ptCount val="7"/>
                <c:pt idx="0">
                  <c:v>6.0357315306615159E-5</c:v>
                </c:pt>
                <c:pt idx="1">
                  <c:v>2.9227053140096618E-2</c:v>
                </c:pt>
                <c:pt idx="2">
                  <c:v>0.19854576542274643</c:v>
                </c:pt>
                <c:pt idx="3">
                  <c:v>0.29822506427435863</c:v>
                </c:pt>
                <c:pt idx="4">
                  <c:v>0.3415662888229718</c:v>
                </c:pt>
                <c:pt idx="5">
                  <c:v>0.40942721100599033</c:v>
                </c:pt>
                <c:pt idx="6">
                  <c:v>0.48937557551276623</c:v>
                </c:pt>
              </c:numCache>
            </c:numRef>
          </c:val>
          <c:extLst>
            <c:ext xmlns:c16="http://schemas.microsoft.com/office/drawing/2014/chart" uri="{C3380CC4-5D6E-409C-BE32-E72D297353CC}">
              <c16:uniqueId val="{00000000-4D58-4301-B2F8-0664C2301605}"/>
            </c:ext>
          </c:extLst>
        </c:ser>
        <c:dLbls>
          <c:dLblPos val="outEnd"/>
          <c:showLegendKey val="0"/>
          <c:showVal val="1"/>
          <c:showCatName val="0"/>
          <c:showSerName val="0"/>
          <c:showPercent val="0"/>
          <c:showBubbleSize val="0"/>
        </c:dLbls>
        <c:gapWidth val="182"/>
        <c:axId val="1548471648"/>
        <c:axId val="1548462528"/>
      </c:barChart>
      <c:catAx>
        <c:axId val="15484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48462528"/>
        <c:crosses val="autoZero"/>
        <c:auto val="1"/>
        <c:lblAlgn val="ctr"/>
        <c:lblOffset val="100"/>
        <c:noMultiLvlLbl val="0"/>
      </c:catAx>
      <c:valAx>
        <c:axId val="1548462528"/>
        <c:scaling>
          <c:orientation val="minMax"/>
          <c:max val="1"/>
          <c:min val="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484716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'Inclusivity in MGNREGA Employm'!$I$41:$I$42</c:f>
              <c:strCache>
                <c:ptCount val="2"/>
                <c:pt idx="0">
                  <c:v>SC workers</c:v>
                </c:pt>
                <c:pt idx="1">
                  <c:v>Active workers</c:v>
                </c:pt>
              </c:strCache>
            </c:strRef>
          </c:cat>
          <c:val>
            <c:numRef>
              <c:f>'Inclusivity in MGNREGA Employm'!$J$41:$J$42</c:f>
              <c:numCache>
                <c:formatCode>_ * #,##0_ ;_ * \-#,##0_ ;_ * "-"??_ ;_ @_ </c:formatCode>
                <c:ptCount val="2"/>
                <c:pt idx="0">
                  <c:v>15318168</c:v>
                </c:pt>
                <c:pt idx="1">
                  <c:v>72507912</c:v>
                </c:pt>
              </c:numCache>
            </c:numRef>
          </c:val>
          <c:extLst>
            <c:ext xmlns:c16="http://schemas.microsoft.com/office/drawing/2014/chart" uri="{C3380CC4-5D6E-409C-BE32-E72D297353CC}">
              <c16:uniqueId val="{00000000-32BC-48EE-87D0-DFA5446B8F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'Inclusivity in MGNREGA Employm'!$M$41:$M$42</c:f>
              <c:strCache>
                <c:ptCount val="2"/>
                <c:pt idx="0">
                  <c:v>ST WORKERS</c:v>
                </c:pt>
                <c:pt idx="1">
                  <c:v>ACTIVE WORKERS</c:v>
                </c:pt>
              </c:strCache>
            </c:strRef>
          </c:cat>
          <c:val>
            <c:numRef>
              <c:f>'Inclusivity in MGNREGA Employm'!$N$41:$N$42</c:f>
              <c:numCache>
                <c:formatCode>_ * #,##0_ ;_ * \-#,##0_ ;_ * "-"??_ ;_ @_ </c:formatCode>
                <c:ptCount val="2"/>
                <c:pt idx="0">
                  <c:v>15000676</c:v>
                </c:pt>
                <c:pt idx="1">
                  <c:v>72507912</c:v>
                </c:pt>
              </c:numCache>
            </c:numRef>
          </c:val>
          <c:extLst>
            <c:ext xmlns:c16="http://schemas.microsoft.com/office/drawing/2014/chart" uri="{C3380CC4-5D6E-409C-BE32-E72D297353CC}">
              <c16:uniqueId val="{00000000-9FCD-4BA8-87C0-517067AD1A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'Inclusivity in MGNREGA Employm'!$C$48</c:f>
              <c:strCache>
                <c:ptCount val="1"/>
                <c:pt idx="0">
                  <c:v>Total Persondays</c:v>
                </c:pt>
              </c:strCache>
            </c:strRef>
          </c:tx>
          <c:spPr>
            <a:solidFill>
              <a:schemeClr val="accent1">
                <a:alpha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'Inclusivity in MGNREGA Employm'!$B$50:$B$52</c:f>
              <c:strCache>
                <c:ptCount val="3"/>
                <c:pt idx="0">
                  <c:v>SC</c:v>
                </c:pt>
                <c:pt idx="1">
                  <c:v>ST</c:v>
                </c:pt>
                <c:pt idx="2">
                  <c:v>WOMEN</c:v>
                </c:pt>
              </c:strCache>
            </c:strRef>
          </c:xVal>
          <c:yVal>
            <c:numRef>
              <c:f>'Inclusivity in MGNREGA Employm'!$C$50:$C$52</c:f>
              <c:numCache>
                <c:formatCode>General</c:formatCode>
                <c:ptCount val="3"/>
                <c:pt idx="0">
                  <c:v>33738219</c:v>
                </c:pt>
                <c:pt idx="1">
                  <c:v>50534895</c:v>
                </c:pt>
                <c:pt idx="2">
                  <c:v>118387733</c:v>
                </c:pt>
              </c:numCache>
            </c:numRef>
          </c:yVal>
          <c:bubbleSize>
            <c:numRef>
              <c:f>'Inclusivity in MGNREGA Employm'!$D$50:$D$52</c:f>
              <c:numCache>
                <c:formatCode>0%</c:formatCode>
                <c:ptCount val="3"/>
                <c:pt idx="0">
                  <c:v>0.19178545557728727</c:v>
                </c:pt>
                <c:pt idx="1">
                  <c:v>0.28726643395507562</c:v>
                </c:pt>
                <c:pt idx="2">
                  <c:v>0.67297699704205627</c:v>
                </c:pt>
              </c:numCache>
            </c:numRef>
          </c:bubbleSize>
          <c:bubble3D val="0"/>
          <c:extLst>
            <c:ext xmlns:c16="http://schemas.microsoft.com/office/drawing/2014/chart" uri="{C3380CC4-5D6E-409C-BE32-E72D297353CC}">
              <c16:uniqueId val="{00000000-0EBC-41F9-BB1C-5D7B6B43887C}"/>
            </c:ext>
          </c:extLst>
        </c:ser>
        <c:dLbls>
          <c:dLblPos val="t"/>
          <c:showLegendKey val="0"/>
          <c:showVal val="0"/>
          <c:showCatName val="0"/>
          <c:showSerName val="0"/>
          <c:showPercent val="0"/>
          <c:showBubbleSize val="0"/>
        </c:dLbls>
        <c:bubbleScale val="100"/>
        <c:showNegBubbles val="0"/>
        <c:axId val="1350738288"/>
        <c:axId val="1350745488"/>
      </c:bubbleChart>
      <c:valAx>
        <c:axId val="1350738288"/>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45488"/>
        <c:crosses val="autoZero"/>
        <c:crossBetween val="midCat"/>
      </c:valAx>
      <c:valAx>
        <c:axId val="13507454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3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w="19050">
                <a:noFill/>
              </a:ln>
              <a:effectLst/>
            </c:spPr>
            <c:extLst>
              <c:ext xmlns:c16="http://schemas.microsoft.com/office/drawing/2014/chart" uri="{C3380CC4-5D6E-409C-BE32-E72D297353CC}">
                <c16:uniqueId val="{00000001-862D-4C8C-B7C3-D17DC32AED37}"/>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3-862D-4C8C-B7C3-D17DC32AED37}"/>
              </c:ext>
            </c:extLst>
          </c:dPt>
          <c:cat>
            <c:strRef>
              <c:f>'Inclusivity in MGNREGA Employm'!$I$41:$I$42</c:f>
              <c:strCache>
                <c:ptCount val="2"/>
                <c:pt idx="0">
                  <c:v>SC workers</c:v>
                </c:pt>
                <c:pt idx="1">
                  <c:v>Active workers</c:v>
                </c:pt>
              </c:strCache>
            </c:strRef>
          </c:cat>
          <c:val>
            <c:numRef>
              <c:f>'Inclusivity in MGNREGA Employm'!$J$41:$J$42</c:f>
              <c:numCache>
                <c:formatCode>_ * #,##0_ ;_ * \-#,##0_ ;_ * "-"??_ ;_ @_ </c:formatCode>
                <c:ptCount val="2"/>
                <c:pt idx="0">
                  <c:v>15318168</c:v>
                </c:pt>
                <c:pt idx="1">
                  <c:v>72507912</c:v>
                </c:pt>
              </c:numCache>
            </c:numRef>
          </c:val>
          <c:extLst>
            <c:ext xmlns:c16="http://schemas.microsoft.com/office/drawing/2014/chart" uri="{C3380CC4-5D6E-409C-BE32-E72D297353CC}">
              <c16:uniqueId val="{00000004-862D-4C8C-B7C3-D17DC32AED37}"/>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756E-45D3-99CD-D9F2DFB4339A}"/>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756E-45D3-99CD-D9F2DFB4339A}"/>
              </c:ext>
            </c:extLst>
          </c:dPt>
          <c:cat>
            <c:strRef>
              <c:f>'Inclusivity in MGNREGA Employm'!$M$41:$M$42</c:f>
              <c:strCache>
                <c:ptCount val="2"/>
                <c:pt idx="0">
                  <c:v>ST WORKERS</c:v>
                </c:pt>
                <c:pt idx="1">
                  <c:v>ACTIVE WORKERS</c:v>
                </c:pt>
              </c:strCache>
            </c:strRef>
          </c:cat>
          <c:val>
            <c:numRef>
              <c:f>'Inclusivity in MGNREGA Employm'!$N$41:$N$42</c:f>
              <c:numCache>
                <c:formatCode>_ * #,##0_ ;_ * \-#,##0_ ;_ * "-"??_ ;_ @_ </c:formatCode>
                <c:ptCount val="2"/>
                <c:pt idx="0">
                  <c:v>15000676</c:v>
                </c:pt>
                <c:pt idx="1">
                  <c:v>72507912</c:v>
                </c:pt>
              </c:numCache>
            </c:numRef>
          </c:val>
          <c:extLst>
            <c:ext xmlns:c16="http://schemas.microsoft.com/office/drawing/2014/chart" uri="{C3380CC4-5D6E-409C-BE32-E72D297353CC}">
              <c16:uniqueId val="{00000004-756E-45D3-99CD-D9F2DFB4339A}"/>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'Inclusivity in MGNREGA Employm'!$C$48</c:f>
              <c:strCache>
                <c:ptCount val="1"/>
                <c:pt idx="0">
                  <c:v>Total Persondays</c:v>
                </c:pt>
              </c:strCache>
            </c:strRef>
          </c:tx>
          <c:spPr>
            <a:solidFill>
              <a:srgbClr val="C42296"/>
            </a:solidFill>
            <a:ln>
              <a:noFill/>
            </a:ln>
            <a:effectLst/>
          </c:spPr>
          <c:invertIfNegative val="0"/>
          <c:dLbls>
            <c:dLbl>
              <c:idx val="0"/>
              <c:tx>
                <c:rich>
                  <a:bodyPr/>
                  <a:lstStyle/>
                  <a:p>
                    <a:fld id="{8EA2DC3D-0BFB-43F5-A798-BA79E2F8B099}" type="XVALUE">
                      <a:rPr lang="en-US" b="1">
                        <a:solidFill>
                          <a:schemeClr val="tx1"/>
                        </a:solidFill>
                        <a:latin typeface="Arial" panose="020B0604020202020204" pitchFamily="34" charset="0"/>
                        <a:cs typeface="Arial" panose="020B0604020202020204" pitchFamily="34" charset="0"/>
                      </a:rPr>
                      <a:pPr/>
                      <a:t>[X VALUE]</a:t>
                    </a:fld>
                    <a:r>
                      <a:rPr lang="en-US" b="1" baseline="0">
                        <a:solidFill>
                          <a:schemeClr val="tx1"/>
                        </a:solidFill>
                        <a:latin typeface="Arial" panose="020B0604020202020204" pitchFamily="34" charset="0"/>
                        <a:cs typeface="Arial" panose="020B0604020202020204" pitchFamily="34" charset="0"/>
                      </a:rPr>
                      <a:t>, </a:t>
                    </a:r>
                    <a:fld id="{D41A3CA7-626F-48FB-A9CE-E487EA842990}" type="YVALUE">
                      <a:rPr lang="en-US" b="1" baseline="0">
                        <a:solidFill>
                          <a:schemeClr val="tx1"/>
                        </a:solidFill>
                        <a:latin typeface="Arial" panose="020B0604020202020204" pitchFamily="34" charset="0"/>
                        <a:cs typeface="Arial" panose="020B0604020202020204" pitchFamily="34" charset="0"/>
                      </a:rPr>
                      <a:pPr/>
                      <a:t>[Y VALUE]</a:t>
                    </a:fld>
                    <a:r>
                      <a:rPr lang="en-US" b="1" baseline="0">
                        <a:solidFill>
                          <a:schemeClr val="tx1"/>
                        </a:solidFill>
                        <a:latin typeface="Arial" panose="020B0604020202020204" pitchFamily="34" charset="0"/>
                        <a:cs typeface="Arial" panose="020B0604020202020204" pitchFamily="34" charset="0"/>
                      </a:rPr>
                      <a:t>, </a:t>
                    </a:r>
                    <a:fld id="{9BE5B327-7054-4D58-88EB-6F2EB43D45B0}" type="BUBBLESIZE">
                      <a:rPr lang="en-US" b="1" baseline="0">
                        <a:solidFill>
                          <a:schemeClr val="tx1"/>
                        </a:solidFill>
                        <a:latin typeface="Arial" panose="020B0604020202020204" pitchFamily="34" charset="0"/>
                        <a:cs typeface="Arial" panose="020B0604020202020204" pitchFamily="34" charset="0"/>
                      </a:rPr>
                      <a:pPr/>
                      <a:t>[BUBBLE SIZE]</a:t>
                    </a:fld>
                    <a:endParaRPr lang="en-US" b="1" baseline="0">
                      <a:solidFill>
                        <a:schemeClr val="tx1"/>
                      </a:solidFill>
                      <a:latin typeface="Arial" panose="020B0604020202020204" pitchFamily="34" charset="0"/>
                      <a:cs typeface="Arial" panose="020B0604020202020204" pitchFamily="34" charset="0"/>
                    </a:endParaRPr>
                  </a:p>
                </c:rich>
              </c:tx>
              <c:dLblPos val="t"/>
              <c:showLegendKey val="0"/>
              <c:showVal val="1"/>
              <c:showCatName val="1"/>
              <c:showSerName val="0"/>
              <c:showPercent val="0"/>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2-6BC9-41C3-A1B5-E47D5227309F}"/>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1"/>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BC9-41C3-A1B5-E47D5227309F}"/>
                </c:ext>
              </c:extLst>
            </c:dLbl>
            <c:dLbl>
              <c:idx val="2"/>
              <c:layout>
                <c:manualLayout>
                  <c:x val="-0.29108311311438873"/>
                  <c:y val="-0.113192744317521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BC9-41C3-A1B5-E47D5227309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'Inclusivity in MGNREGA Employm'!$B$50:$B$52</c:f>
              <c:strCache>
                <c:ptCount val="3"/>
                <c:pt idx="0">
                  <c:v>SC</c:v>
                </c:pt>
                <c:pt idx="1">
                  <c:v>ST</c:v>
                </c:pt>
                <c:pt idx="2">
                  <c:v>WOMEN</c:v>
                </c:pt>
              </c:strCache>
            </c:strRef>
          </c:xVal>
          <c:yVal>
            <c:numRef>
              <c:f>'Inclusivity in MGNREGA Employm'!$C$50:$C$52</c:f>
              <c:numCache>
                <c:formatCode>General</c:formatCode>
                <c:ptCount val="3"/>
                <c:pt idx="0">
                  <c:v>33738219</c:v>
                </c:pt>
                <c:pt idx="1">
                  <c:v>50534895</c:v>
                </c:pt>
                <c:pt idx="2">
                  <c:v>118387733</c:v>
                </c:pt>
              </c:numCache>
            </c:numRef>
          </c:yVal>
          <c:bubbleSize>
            <c:numRef>
              <c:f>'Inclusivity in MGNREGA Employm'!$D$50:$D$52</c:f>
              <c:numCache>
                <c:formatCode>0%</c:formatCode>
                <c:ptCount val="3"/>
                <c:pt idx="0">
                  <c:v>0.19178545557728727</c:v>
                </c:pt>
                <c:pt idx="1">
                  <c:v>0.28726643395507562</c:v>
                </c:pt>
                <c:pt idx="2">
                  <c:v>0.67297699704205627</c:v>
                </c:pt>
              </c:numCache>
            </c:numRef>
          </c:bubbleSize>
          <c:bubble3D val="0"/>
          <c:extLst>
            <c:ext xmlns:c16="http://schemas.microsoft.com/office/drawing/2014/chart" uri="{C3380CC4-5D6E-409C-BE32-E72D297353CC}">
              <c16:uniqueId val="{00000000-6BC9-41C3-A1B5-E47D5227309F}"/>
            </c:ext>
          </c:extLst>
        </c:ser>
        <c:dLbls>
          <c:showLegendKey val="0"/>
          <c:showVal val="0"/>
          <c:showCatName val="0"/>
          <c:showSerName val="0"/>
          <c:showPercent val="0"/>
          <c:showBubbleSize val="0"/>
        </c:dLbls>
        <c:bubbleScale val="100"/>
        <c:showNegBubbles val="0"/>
        <c:axId val="1350738288"/>
        <c:axId val="1350745488"/>
      </c:bubbleChart>
      <c:valAx>
        <c:axId val="1350738288"/>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50745488"/>
        <c:crosses val="autoZero"/>
        <c:crossBetween val="midCat"/>
      </c:valAx>
      <c:valAx>
        <c:axId val="13507454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5073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717015421549991E-2"/>
          <c:y val="7.7854786174740044E-3"/>
          <c:w val="0.90652593745354448"/>
          <c:h val="0.95152500176067556"/>
        </c:manualLayout>
      </c:layout>
      <c:bubbleChart>
        <c:varyColors val="0"/>
        <c:ser>
          <c:idx val="0"/>
          <c:order val="0"/>
          <c:tx>
            <c:strRef>
              <c:f>'Job Card Utilization rate'!$I$41</c:f>
              <c:strCache>
                <c:ptCount val="1"/>
                <c:pt idx="0">
                  <c:v>No.of JobCards issued</c:v>
                </c:pt>
              </c:strCache>
            </c:strRef>
          </c:tx>
          <c:spPr>
            <a:solidFill>
              <a:schemeClr val="accent1">
                <a:alpha val="75000"/>
              </a:schemeClr>
            </a:solidFill>
            <a:ln>
              <a:noFill/>
            </a:ln>
            <a:effectLst/>
          </c:spPr>
          <c:invertIfNegative val="0"/>
          <c:dLbls>
            <c:dLbl>
              <c:idx val="0"/>
              <c:tx>
                <c:rich>
                  <a:bodyPr/>
                  <a:lstStyle/>
                  <a:p>
                    <a:fld id="{D4960B87-2B2A-4763-B865-DD7AAEB509B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671-4C0F-A3C8-B3B88DB3FAC3}"/>
                </c:ext>
              </c:extLst>
            </c:dLbl>
            <c:dLbl>
              <c:idx val="1"/>
              <c:tx>
                <c:rich>
                  <a:bodyPr/>
                  <a:lstStyle/>
                  <a:p>
                    <a:fld id="{60C0C326-43DA-4D56-8D62-120D709ECE9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671-4C0F-A3C8-B3B88DB3FAC3}"/>
                </c:ext>
              </c:extLst>
            </c:dLbl>
            <c:dLbl>
              <c:idx val="2"/>
              <c:tx>
                <c:rich>
                  <a:bodyPr/>
                  <a:lstStyle/>
                  <a:p>
                    <a:fld id="{1196FEAF-7062-4B0F-84CE-7ACD96C1613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671-4C0F-A3C8-B3B88DB3FAC3}"/>
                </c:ext>
              </c:extLst>
            </c:dLbl>
            <c:dLbl>
              <c:idx val="3"/>
              <c:tx>
                <c:rich>
                  <a:bodyPr/>
                  <a:lstStyle/>
                  <a:p>
                    <a:fld id="{126F7707-9C31-4A3C-8240-BC6B2844A9D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671-4C0F-A3C8-B3B88DB3FAC3}"/>
                </c:ext>
              </c:extLst>
            </c:dLbl>
            <c:dLbl>
              <c:idx val="4"/>
              <c:tx>
                <c:rich>
                  <a:bodyPr/>
                  <a:lstStyle/>
                  <a:p>
                    <a:fld id="{258DCD49-6E2D-4955-B2DF-C4905D583A4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671-4C0F-A3C8-B3B88DB3FAC3}"/>
                </c:ext>
              </c:extLst>
            </c:dLbl>
            <c:dLbl>
              <c:idx val="5"/>
              <c:tx>
                <c:rich>
                  <a:bodyPr/>
                  <a:lstStyle/>
                  <a:p>
                    <a:fld id="{7316F89D-6E71-4D02-BDE5-B5BE1932240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671-4C0F-A3C8-B3B88DB3FAC3}"/>
                </c:ext>
              </c:extLst>
            </c:dLbl>
            <c:dLbl>
              <c:idx val="6"/>
              <c:tx>
                <c:rich>
                  <a:bodyPr/>
                  <a:lstStyle/>
                  <a:p>
                    <a:fld id="{99BD7B00-58FA-4266-8BC4-825FD89B130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671-4C0F-A3C8-B3B88DB3FAC3}"/>
                </c:ext>
              </c:extLst>
            </c:dLbl>
            <c:dLbl>
              <c:idx val="7"/>
              <c:tx>
                <c:rich>
                  <a:bodyPr/>
                  <a:lstStyle/>
                  <a:p>
                    <a:fld id="{6D4A3031-AC6F-487E-9B26-42E75F3AA50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1-4C0F-A3C8-B3B88DB3FAC3}"/>
                </c:ext>
              </c:extLst>
            </c:dLbl>
            <c:dLbl>
              <c:idx val="8"/>
              <c:tx>
                <c:rich>
                  <a:bodyPr/>
                  <a:lstStyle/>
                  <a:p>
                    <a:fld id="{B079CB91-F573-4353-9F38-2035295666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1-4C0F-A3C8-B3B88DB3FAC3}"/>
                </c:ext>
              </c:extLst>
            </c:dLbl>
            <c:dLbl>
              <c:idx val="9"/>
              <c:tx>
                <c:rich>
                  <a:bodyPr/>
                  <a:lstStyle/>
                  <a:p>
                    <a:fld id="{F69835ED-1AB7-4074-9BE5-8F76173B088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1-4C0F-A3C8-B3B88DB3FAC3}"/>
                </c:ext>
              </c:extLst>
            </c:dLbl>
            <c:dLbl>
              <c:idx val="10"/>
              <c:tx>
                <c:rich>
                  <a:bodyPr/>
                  <a:lstStyle/>
                  <a:p>
                    <a:fld id="{81DCFF24-CDEC-4A90-8661-F0662B5ECE6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1-4C0F-A3C8-B3B88DB3FAC3}"/>
                </c:ext>
              </c:extLst>
            </c:dLbl>
            <c:dLbl>
              <c:idx val="11"/>
              <c:tx>
                <c:rich>
                  <a:bodyPr/>
                  <a:lstStyle/>
                  <a:p>
                    <a:fld id="{3A4174CD-7213-443B-A9CB-9A50212635B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1-4C0F-A3C8-B3B88DB3FAC3}"/>
                </c:ext>
              </c:extLst>
            </c:dLbl>
            <c:dLbl>
              <c:idx val="12"/>
              <c:tx>
                <c:rich>
                  <a:bodyPr/>
                  <a:lstStyle/>
                  <a:p>
                    <a:fld id="{23880019-F9A9-4596-8165-0BB6D3635E6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1-4C0F-A3C8-B3B88DB3FAC3}"/>
                </c:ext>
              </c:extLst>
            </c:dLbl>
            <c:dLbl>
              <c:idx val="13"/>
              <c:tx>
                <c:rich>
                  <a:bodyPr/>
                  <a:lstStyle/>
                  <a:p>
                    <a:fld id="{97F8E13B-435A-4A6C-8C15-1D20DAA060E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1-4C0F-A3C8-B3B88DB3FAC3}"/>
                </c:ext>
              </c:extLst>
            </c:dLbl>
            <c:dLbl>
              <c:idx val="14"/>
              <c:tx>
                <c:rich>
                  <a:bodyPr/>
                  <a:lstStyle/>
                  <a:p>
                    <a:fld id="{77A223C0-3591-4C28-8E8A-7FA01661C1F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1-4C0F-A3C8-B3B88DB3FAC3}"/>
                </c:ext>
              </c:extLst>
            </c:dLbl>
            <c:dLbl>
              <c:idx val="15"/>
              <c:tx>
                <c:rich>
                  <a:bodyPr/>
                  <a:lstStyle/>
                  <a:p>
                    <a:fld id="{FFCB1ACE-BF47-4293-B150-C972E18ED44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1-4C0F-A3C8-B3B88DB3FAC3}"/>
                </c:ext>
              </c:extLst>
            </c:dLbl>
            <c:dLbl>
              <c:idx val="16"/>
              <c:tx>
                <c:rich>
                  <a:bodyPr/>
                  <a:lstStyle/>
                  <a:p>
                    <a:fld id="{F14BC7C1-952B-47D3-B9A6-7E8CF669A82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671-4C0F-A3C8-B3B88DB3FAC3}"/>
                </c:ext>
              </c:extLst>
            </c:dLbl>
            <c:dLbl>
              <c:idx val="17"/>
              <c:tx>
                <c:rich>
                  <a:bodyPr/>
                  <a:lstStyle/>
                  <a:p>
                    <a:fld id="{1190E36A-8756-4919-836C-A0FAC306780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1-4C0F-A3C8-B3B88DB3FAC3}"/>
                </c:ext>
              </c:extLst>
            </c:dLbl>
            <c:dLbl>
              <c:idx val="18"/>
              <c:tx>
                <c:rich>
                  <a:bodyPr/>
                  <a:lstStyle/>
                  <a:p>
                    <a:fld id="{7975393C-AB56-4AF6-81D0-45A52B38B50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1-4C0F-A3C8-B3B88DB3FAC3}"/>
                </c:ext>
              </c:extLst>
            </c:dLbl>
            <c:dLbl>
              <c:idx val="19"/>
              <c:tx>
                <c:rich>
                  <a:bodyPr/>
                  <a:lstStyle/>
                  <a:p>
                    <a:fld id="{21FA31CC-1D3D-452F-ACC2-1CFD10951B2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1-4C0F-A3C8-B3B88DB3FAC3}"/>
                </c:ext>
              </c:extLst>
            </c:dLbl>
            <c:dLbl>
              <c:idx val="20"/>
              <c:tx>
                <c:rich>
                  <a:bodyPr/>
                  <a:lstStyle/>
                  <a:p>
                    <a:fld id="{9C222BA2-616D-4C81-B4C8-A235076CBDD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1-4C0F-A3C8-B3B88DB3FAC3}"/>
                </c:ext>
              </c:extLst>
            </c:dLbl>
            <c:dLbl>
              <c:idx val="21"/>
              <c:tx>
                <c:rich>
                  <a:bodyPr/>
                  <a:lstStyle/>
                  <a:p>
                    <a:fld id="{25411FBE-BFD3-4B38-A2C8-5E6FCAA5611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1-4C0F-A3C8-B3B88DB3FAC3}"/>
                </c:ext>
              </c:extLst>
            </c:dLbl>
            <c:dLbl>
              <c:idx val="22"/>
              <c:tx>
                <c:rich>
                  <a:bodyPr/>
                  <a:lstStyle/>
                  <a:p>
                    <a:fld id="{D8773EF8-B197-43C4-BCF5-405C1E46D9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1-4C0F-A3C8-B3B88DB3FAC3}"/>
                </c:ext>
              </c:extLst>
            </c:dLbl>
            <c:dLbl>
              <c:idx val="23"/>
              <c:tx>
                <c:rich>
                  <a:bodyPr/>
                  <a:lstStyle/>
                  <a:p>
                    <a:fld id="{FFFEB0D7-A3C6-4769-8FD4-EAFD5BF8473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1-4C0F-A3C8-B3B88DB3FAC3}"/>
                </c:ext>
              </c:extLst>
            </c:dLbl>
            <c:dLbl>
              <c:idx val="24"/>
              <c:tx>
                <c:rich>
                  <a:bodyPr/>
                  <a:lstStyle/>
                  <a:p>
                    <a:fld id="{0D6E09D2-3A2B-46CF-A8B3-E1D328D2006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1-4C0F-A3C8-B3B88DB3FAC3}"/>
                </c:ext>
              </c:extLst>
            </c:dLbl>
            <c:dLbl>
              <c:idx val="25"/>
              <c:tx>
                <c:rich>
                  <a:bodyPr/>
                  <a:lstStyle/>
                  <a:p>
                    <a:fld id="{C1211B70-119B-477D-A370-BB9048A8F16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1-4C0F-A3C8-B3B88DB3FAC3}"/>
                </c:ext>
              </c:extLst>
            </c:dLbl>
            <c:dLbl>
              <c:idx val="26"/>
              <c:tx>
                <c:rich>
                  <a:bodyPr/>
                  <a:lstStyle/>
                  <a:p>
                    <a:fld id="{3E6E7099-5C16-4A72-ACDB-AF9A79110B4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1-4C0F-A3C8-B3B88DB3FAC3}"/>
                </c:ext>
              </c:extLst>
            </c:dLbl>
            <c:dLbl>
              <c:idx val="27"/>
              <c:tx>
                <c:rich>
                  <a:bodyPr/>
                  <a:lstStyle/>
                  <a:p>
                    <a:fld id="{BAA2A263-087D-4F50-8357-A870890BDFF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1-4C0F-A3C8-B3B88DB3FAC3}"/>
                </c:ext>
              </c:extLst>
            </c:dLbl>
            <c:dLbl>
              <c:idx val="28"/>
              <c:tx>
                <c:rich>
                  <a:bodyPr/>
                  <a:lstStyle/>
                  <a:p>
                    <a:fld id="{F9532775-4589-4CF3-89D7-A9793281123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671-4C0F-A3C8-B3B88DB3FAC3}"/>
                </c:ext>
              </c:extLst>
            </c:dLbl>
            <c:dLbl>
              <c:idx val="29"/>
              <c:tx>
                <c:rich>
                  <a:bodyPr/>
                  <a:lstStyle/>
                  <a:p>
                    <a:fld id="{09F0C0BC-97FC-44F3-B76B-E85CFAE76F7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671-4C0F-A3C8-B3B88DB3FAC3}"/>
                </c:ext>
              </c:extLst>
            </c:dLbl>
            <c:dLbl>
              <c:idx val="30"/>
              <c:tx>
                <c:rich>
                  <a:bodyPr/>
                  <a:lstStyle/>
                  <a:p>
                    <a:fld id="{034EAFF6-81C1-4A98-AE46-1EC17899A13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671-4C0F-A3C8-B3B88DB3FAC3}"/>
                </c:ext>
              </c:extLst>
            </c:dLbl>
            <c:dLbl>
              <c:idx val="31"/>
              <c:tx>
                <c:rich>
                  <a:bodyPr/>
                  <a:lstStyle/>
                  <a:p>
                    <a:fld id="{8396E5DC-10A1-4BAA-B531-FB7B9042A58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C671-4C0F-A3C8-B3B88DB3FAC3}"/>
                </c:ext>
              </c:extLst>
            </c:dLbl>
            <c:dLbl>
              <c:idx val="32"/>
              <c:tx>
                <c:rich>
                  <a:bodyPr/>
                  <a:lstStyle/>
                  <a:p>
                    <a:fld id="{EEDF5F09-3BB7-4A4C-80AE-1214D8AA356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671-4C0F-A3C8-B3B88DB3FAC3}"/>
                </c:ext>
              </c:extLst>
            </c:dLbl>
            <c:dLbl>
              <c:idx val="33"/>
              <c:tx>
                <c:rich>
                  <a:bodyPr/>
                  <a:lstStyle/>
                  <a:p>
                    <a:fld id="{FAE2720A-476C-48BD-A501-A8E9F16F7C1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671-4C0F-A3C8-B3B88DB3F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strRef>
              <c:f>'Job Card Utilization rate'!$H$42:$H$75</c:f>
              <c:str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strCache>
            </c:strRef>
          </c:xVal>
          <c:yVal>
            <c:numRef>
              <c:f>'Job Card Utilization rate'!$I$42:$I$75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71241956</c:v>
                </c:pt>
                <c:pt idx="27">
                  <c:v>0</c:v>
                </c:pt>
                <c:pt idx="28">
                  <c:v>0</c:v>
                </c:pt>
                <c:pt idx="29">
                  <c:v>0</c:v>
                </c:pt>
                <c:pt idx="30">
                  <c:v>0</c:v>
                </c:pt>
                <c:pt idx="31">
                  <c:v>0</c:v>
                </c:pt>
                <c:pt idx="32">
                  <c:v>0</c:v>
                </c:pt>
                <c:pt idx="33">
                  <c:v>0</c:v>
                </c:pt>
              </c:numCache>
            </c:numRef>
          </c:yVal>
          <c:bubbleSize>
            <c:numRef>
              <c:f>'Job Card Utilization rate'!$J$42:$J$75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formatCode="0.00">
                  <c:v>48181372</c:v>
                </c:pt>
                <c:pt idx="27">
                  <c:v>0</c:v>
                </c:pt>
                <c:pt idx="28">
                  <c:v>0</c:v>
                </c:pt>
                <c:pt idx="29">
                  <c:v>0</c:v>
                </c:pt>
                <c:pt idx="30">
                  <c:v>0</c:v>
                </c:pt>
                <c:pt idx="31">
                  <c:v>0</c:v>
                </c:pt>
                <c:pt idx="32">
                  <c:v>0</c:v>
                </c:pt>
                <c:pt idx="33">
                  <c:v>0</c:v>
                </c:pt>
              </c:numCache>
            </c:numRef>
          </c:bubbleSize>
          <c:bubble3D val="0"/>
          <c:extLst>
            <c:ext xmlns:c15="http://schemas.microsoft.com/office/drawing/2012/chart" uri="{02D57815-91ED-43cb-92C2-25804820EDAC}">
              <c15:datalabelsRange>
                <c15:f>'Job Card Utilization rate'!$H$42:$H$75</c15:f>
                <c15:dlblRange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15:dlblRangeCache>
              </c15:datalabelsRange>
            </c:ext>
            <c:ext xmlns:c16="http://schemas.microsoft.com/office/drawing/2014/chart" uri="{C3380CC4-5D6E-409C-BE32-E72D297353CC}">
              <c16:uniqueId val="{00000000-C671-4C0F-A3C8-B3B88DB3FAC3}"/>
            </c:ext>
          </c:extLst>
        </c:ser>
        <c:dLbls>
          <c:showLegendKey val="0"/>
          <c:showVal val="1"/>
          <c:showCatName val="0"/>
          <c:showSerName val="0"/>
          <c:showPercent val="0"/>
          <c:showBubbleSize val="0"/>
        </c:dLbls>
        <c:bubbleScale val="100"/>
        <c:showNegBubbles val="0"/>
        <c:axId val="959626656"/>
        <c:axId val="959627136"/>
      </c:bubbleChart>
      <c:valAx>
        <c:axId val="959626656"/>
        <c:scaling>
          <c:orientation val="minMax"/>
          <c:max val="35"/>
          <c:min val="0"/>
        </c:scaling>
        <c:delete val="0"/>
        <c:axPos val="b"/>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27136"/>
        <c:crosses val="autoZero"/>
        <c:crossBetween val="midCat"/>
      </c:valAx>
      <c:valAx>
        <c:axId val="959627136"/>
        <c:scaling>
          <c:orientation val="minMax"/>
          <c:min val="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2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15-4659-996D-8B9BDB6ED4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15-4659-996D-8B9BDB6ED475}"/>
              </c:ext>
            </c:extLst>
          </c:dPt>
          <c:cat>
            <c:strRef>
              <c:f>'Job Card Utilization rate'!$B$85:$B$86</c:f>
              <c:strCache>
                <c:ptCount val="2"/>
                <c:pt idx="0">
                  <c:v>Active JobCards</c:v>
                </c:pt>
                <c:pt idx="1">
                  <c:v>JobCards Issued</c:v>
                </c:pt>
              </c:strCache>
            </c:strRef>
          </c:cat>
          <c:val>
            <c:numRef>
              <c:f>'Job Card Utilization rate'!$C$85:$C$86</c:f>
              <c:numCache>
                <c:formatCode>General</c:formatCode>
                <c:ptCount val="2"/>
                <c:pt idx="0">
                  <c:v>48181372</c:v>
                </c:pt>
                <c:pt idx="1">
                  <c:v>71241956</c:v>
                </c:pt>
              </c:numCache>
            </c:numRef>
          </c:val>
          <c:extLst>
            <c:ext xmlns:c16="http://schemas.microsoft.com/office/drawing/2014/chart" uri="{C3380CC4-5D6E-409C-BE32-E72D297353CC}">
              <c16:uniqueId val="{00000000-6EAD-468D-A63D-4D8BAE0A3D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0F-4CBE-AEB6-DC8E4BCEC1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0F-4CBE-AEB6-DC8E4BCEC122}"/>
              </c:ext>
            </c:extLst>
          </c:dPt>
          <c:cat>
            <c:strRef>
              <c:f>'Job Card Utilization rate'!$B$89:$B$90</c:f>
              <c:strCache>
                <c:ptCount val="2"/>
                <c:pt idx="0">
                  <c:v>Active Workers</c:v>
                </c:pt>
                <c:pt idx="1">
                  <c:v>Total Workers</c:v>
                </c:pt>
              </c:strCache>
            </c:strRef>
          </c:cat>
          <c:val>
            <c:numRef>
              <c:f>'Job Card Utilization rate'!$C$89:$C$90</c:f>
              <c:numCache>
                <c:formatCode>General</c:formatCode>
                <c:ptCount val="2"/>
                <c:pt idx="0">
                  <c:v>66522128</c:v>
                </c:pt>
                <c:pt idx="1">
                  <c:v>94285624</c:v>
                </c:pt>
              </c:numCache>
            </c:numRef>
          </c:val>
          <c:extLst>
            <c:ext xmlns:c16="http://schemas.microsoft.com/office/drawing/2014/chart" uri="{C3380CC4-5D6E-409C-BE32-E72D297353CC}">
              <c16:uniqueId val="{00000000-F35A-4D77-B78B-F9D9268935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rate'!$C$104</c:f>
              <c:strCache>
                <c:ptCount val="1"/>
                <c:pt idx="0">
                  <c:v>Total</c:v>
                </c:pt>
              </c:strCache>
            </c:strRef>
          </c:tx>
          <c:spPr>
            <a:solidFill>
              <a:schemeClr val="accent1"/>
            </a:solidFill>
            <a:ln>
              <a:noFill/>
            </a:ln>
            <a:effectLst/>
          </c:spPr>
          <c:invertIfNegative val="0"/>
          <c:cat>
            <c:strRef>
              <c:f>'Job Card Utilization rate'!$B$105:$B$106</c:f>
              <c:strCache>
                <c:ptCount val="1"/>
                <c:pt idx="0">
                  <c:v>UTTAR PRADESH</c:v>
                </c:pt>
              </c:strCache>
            </c:strRef>
          </c:cat>
          <c:val>
            <c:numRef>
              <c:f>'Job Card Utilization rate'!$C$105:$C$106</c:f>
              <c:numCache>
                <c:formatCode>0.00%</c:formatCode>
                <c:ptCount val="1"/>
                <c:pt idx="0">
                  <c:v>0.64894579397138974</c:v>
                </c:pt>
              </c:numCache>
            </c:numRef>
          </c:val>
          <c:extLst>
            <c:ext xmlns:c16="http://schemas.microsoft.com/office/drawing/2014/chart" uri="{C3380CC4-5D6E-409C-BE32-E72D297353CC}">
              <c16:uniqueId val="{00000000-0AAE-4375-B31A-639E34940747}"/>
            </c:ext>
          </c:extLst>
        </c:ser>
        <c:dLbls>
          <c:showLegendKey val="0"/>
          <c:showVal val="0"/>
          <c:showCatName val="0"/>
          <c:showSerName val="0"/>
          <c:showPercent val="0"/>
          <c:showBubbleSize val="0"/>
        </c:dLbls>
        <c:gapWidth val="182"/>
        <c:axId val="458744496"/>
        <c:axId val="458745456"/>
      </c:barChart>
      <c:catAx>
        <c:axId val="45874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45456"/>
        <c:crosses val="autoZero"/>
        <c:auto val="1"/>
        <c:lblAlgn val="ctr"/>
        <c:lblOffset val="100"/>
        <c:noMultiLvlLbl val="0"/>
      </c:catAx>
      <c:valAx>
        <c:axId val="458745456"/>
        <c:scaling>
          <c:orientation val="minMax"/>
          <c:min val="0.92500000000000004"/>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rate'!$C$116</c:f>
              <c:strCache>
                <c:ptCount val="1"/>
                <c:pt idx="0">
                  <c:v>Total</c:v>
                </c:pt>
              </c:strCache>
            </c:strRef>
          </c:tx>
          <c:spPr>
            <a:solidFill>
              <a:schemeClr val="accent1"/>
            </a:solidFill>
            <a:ln>
              <a:noFill/>
            </a:ln>
            <a:effectLst/>
          </c:spPr>
          <c:invertIfNegative val="0"/>
          <c:cat>
            <c:strRef>
              <c:f>'Job Card Utilization rate'!$B$117:$B$118</c:f>
              <c:strCache>
                <c:ptCount val="1"/>
                <c:pt idx="0">
                  <c:v>UTTAR PRADESH</c:v>
                </c:pt>
              </c:strCache>
            </c:strRef>
          </c:cat>
          <c:val>
            <c:numRef>
              <c:f>'Job Card Utilization rate'!$C$117:$C$118</c:f>
              <c:numCache>
                <c:formatCode>0.00%</c:formatCode>
                <c:ptCount val="1"/>
                <c:pt idx="0">
                  <c:v>0.64894579397138974</c:v>
                </c:pt>
              </c:numCache>
            </c:numRef>
          </c:val>
          <c:extLst>
            <c:ext xmlns:c16="http://schemas.microsoft.com/office/drawing/2014/chart" uri="{C3380CC4-5D6E-409C-BE32-E72D297353CC}">
              <c16:uniqueId val="{00000000-1656-4D2E-B18D-B74A11701660}"/>
            </c:ext>
          </c:extLst>
        </c:ser>
        <c:dLbls>
          <c:showLegendKey val="0"/>
          <c:showVal val="0"/>
          <c:showCatName val="0"/>
          <c:showSerName val="0"/>
          <c:showPercent val="0"/>
          <c:showBubbleSize val="0"/>
        </c:dLbls>
        <c:gapWidth val="182"/>
        <c:axId val="503978256"/>
        <c:axId val="458232608"/>
      </c:barChart>
      <c:catAx>
        <c:axId val="5039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32608"/>
        <c:crosses val="autoZero"/>
        <c:auto val="1"/>
        <c:lblAlgn val="ctr"/>
        <c:lblOffset val="100"/>
        <c:noMultiLvlLbl val="0"/>
      </c:catAx>
      <c:valAx>
        <c:axId val="458232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7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'Job Card Utilization rate'!$M$84</c:f>
              <c:strCache>
                <c:ptCount val="1"/>
                <c:pt idx="0">
                  <c:v>Job Card Utilization rate</c:v>
                </c:pt>
              </c:strCache>
            </c:strRef>
          </c:tx>
          <c:spPr>
            <a:ln w="19050" cap="rnd">
              <a:noFill/>
              <a:round/>
            </a:ln>
            <a:effectLst/>
          </c:spPr>
          <c:marker>
            <c:symbol val="circle"/>
            <c:size val="23"/>
            <c:spPr>
              <a:solidFill>
                <a:schemeClr val="accent1"/>
              </a:solidFill>
              <a:ln w="9525">
                <a:solidFill>
                  <a:schemeClr val="accent1"/>
                </a:solidFill>
              </a:ln>
              <a:effectLst/>
              <a:scene3d>
                <a:camera prst="orthographicFront"/>
                <a:lightRig rig="threePt" dir="t"/>
              </a:scene3d>
              <a:sp3d prstMaterial="powder"/>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'Job Card Utilization rate'!$L$85:$L$118</c:f>
              <c:strCache>
                <c:ptCount val="34"/>
                <c:pt idx="0">
                  <c:v>ANDAMAN AND NICOBAR</c:v>
                </c:pt>
                <c:pt idx="1">
                  <c:v>ANDHRA PRADESH</c:v>
                </c:pt>
                <c:pt idx="2">
                  <c:v>ARUNACHAL PRADESH</c:v>
                </c:pt>
                <c:pt idx="3">
                  <c:v>ASSAM</c:v>
                </c:pt>
                <c:pt idx="4">
                  <c:v>BIHAR</c:v>
                </c:pt>
                <c:pt idx="5">
                  <c:v>CHHATTISGARH</c:v>
                </c:pt>
                <c:pt idx="6">
                  <c:v>DN HAVELI AND DD</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TELANGANA</c:v>
                </c:pt>
                <c:pt idx="30">
                  <c:v>TRIPURA</c:v>
                </c:pt>
                <c:pt idx="31">
                  <c:v>UTTAR PRADESH</c:v>
                </c:pt>
                <c:pt idx="32">
                  <c:v>UTTARAKHAND</c:v>
                </c:pt>
                <c:pt idx="33">
                  <c:v>WEST BENGAL</c:v>
                </c:pt>
              </c:strCache>
            </c:strRef>
          </c:xVal>
          <c:yVal>
            <c:numRef>
              <c:f>'Job Card Utilization rate'!$M$85:$M$118</c:f>
              <c:numCache>
                <c:formatCode>0.00%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0.64894579397138974</c:v>
                </c:pt>
                <c:pt idx="32">
                  <c:v>0</c:v>
                </c:pt>
                <c:pt idx="33">
                  <c:v>0</c:v>
                </c:pt>
              </c:numCache>
            </c:numRef>
          </c:yVal>
          <c:smooth val="0"/>
          <c:extLst>
            <c:ext xmlns:c16="http://schemas.microsoft.com/office/drawing/2014/chart" uri="{C3380CC4-5D6E-409C-BE32-E72D297353CC}">
              <c16:uniqueId val="{00000000-B5D4-4151-B569-38C279839EAA}"/>
            </c:ext>
          </c:extLst>
        </c:ser>
        <c:ser>
          <c:idx val="1"/>
          <c:order val="1"/>
          <c:tx>
            <c:strRef>
              <c:f>'Job Card Utilization rate'!$N$84</c:f>
              <c:strCache>
                <c:ptCount val="1"/>
                <c:pt idx="0">
                  <c:v>Worker Participation Rate</c:v>
                </c:pt>
              </c:strCache>
            </c:strRef>
          </c:tx>
          <c:spPr>
            <a:ln w="19050" cap="rnd">
              <a:noFill/>
              <a:round/>
            </a:ln>
            <a:effectLst/>
          </c:spPr>
          <c:marker>
            <c:symbol val="circle"/>
            <c:size val="23"/>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'Job Card Utilization rate'!$L$85:$L$118</c:f>
              <c:strCache>
                <c:ptCount val="34"/>
                <c:pt idx="0">
                  <c:v>ANDAMAN AND NICOBAR</c:v>
                </c:pt>
                <c:pt idx="1">
                  <c:v>ANDHRA PRADESH</c:v>
                </c:pt>
                <c:pt idx="2">
                  <c:v>ARUNACHAL PRADESH</c:v>
                </c:pt>
                <c:pt idx="3">
                  <c:v>ASSAM</c:v>
                </c:pt>
                <c:pt idx="4">
                  <c:v>BIHAR</c:v>
                </c:pt>
                <c:pt idx="5">
                  <c:v>CHHATTISGARH</c:v>
                </c:pt>
                <c:pt idx="6">
                  <c:v>DN HAVELI AND DD</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TELANGANA</c:v>
                </c:pt>
                <c:pt idx="30">
                  <c:v>TRIPURA</c:v>
                </c:pt>
                <c:pt idx="31">
                  <c:v>UTTAR PRADESH</c:v>
                </c:pt>
                <c:pt idx="32">
                  <c:v>UTTARAKHAND</c:v>
                </c:pt>
                <c:pt idx="33">
                  <c:v>WEST BENGAL</c:v>
                </c:pt>
              </c:strCache>
            </c:strRef>
          </c:xVal>
          <c:yVal>
            <c:numRef>
              <c:f>'Job Card Utilization rate'!$N$85:$N$118</c:f>
              <c:numCache>
                <c:formatCode>0.00%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0.67424130426222362</c:v>
                </c:pt>
                <c:pt idx="32">
                  <c:v>0</c:v>
                </c:pt>
                <c:pt idx="33">
                  <c:v>0</c:v>
                </c:pt>
              </c:numCache>
            </c:numRef>
          </c:yVal>
          <c:smooth val="0"/>
          <c:extLst>
            <c:ext xmlns:c16="http://schemas.microsoft.com/office/drawing/2014/chart" uri="{C3380CC4-5D6E-409C-BE32-E72D297353CC}">
              <c16:uniqueId val="{00000001-B5D4-4151-B569-38C279839EAA}"/>
            </c:ext>
          </c:extLst>
        </c:ser>
        <c:dLbls>
          <c:showLegendKey val="0"/>
          <c:showVal val="0"/>
          <c:showCatName val="0"/>
          <c:showSerName val="0"/>
          <c:showPercent val="0"/>
          <c:showBubbleSize val="0"/>
        </c:dLbls>
        <c:axId val="503804432"/>
        <c:axId val="503803952"/>
      </c:scatterChart>
      <c:valAx>
        <c:axId val="50380443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03952"/>
        <c:crosses val="autoZero"/>
        <c:crossBetween val="midCat"/>
      </c:valAx>
      <c:valAx>
        <c:axId val="503803952"/>
        <c:scaling>
          <c:orientation val="minMax"/>
          <c:max val="1"/>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04432"/>
        <c:crosses val="autoZero"/>
        <c:crossBetween val="midCat"/>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1-83DD-423D-8AB4-F05F5E973BF0}"/>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3DD-423D-8AB4-F05F5E973BF0}"/>
              </c:ext>
            </c:extLst>
          </c:dPt>
          <c:cat>
            <c:strRef>
              <c:f>'Job Card Utilization rate'!$B$85:$B$86</c:f>
              <c:strCache>
                <c:ptCount val="2"/>
                <c:pt idx="0">
                  <c:v>Active JobCards</c:v>
                </c:pt>
                <c:pt idx="1">
                  <c:v>JobCards Issued</c:v>
                </c:pt>
              </c:strCache>
            </c:strRef>
          </c:cat>
          <c:val>
            <c:numRef>
              <c:f>'Job Card Utilization rate'!$C$85:$C$86</c:f>
              <c:numCache>
                <c:formatCode>General</c:formatCode>
                <c:ptCount val="2"/>
                <c:pt idx="0">
                  <c:v>48181372</c:v>
                </c:pt>
                <c:pt idx="1">
                  <c:v>71241956</c:v>
                </c:pt>
              </c:numCache>
            </c:numRef>
          </c:val>
          <c:extLst>
            <c:ext xmlns:c16="http://schemas.microsoft.com/office/drawing/2014/chart" uri="{C3380CC4-5D6E-409C-BE32-E72D297353CC}">
              <c16:uniqueId val="{00000004-83DD-423D-8AB4-F05F5E973B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plotArea>
      <cx:plotAreaRegion>
        <cx:series layoutId="treemap" uniqueId="{AB5B5F81-FCB5-4063-A110-D54780267D52}">
          <cx:tx>
            <cx:txData>
              <cx:f>_xlchart.v1.6</cx:f>
              <cx:v>Total Persondays</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C3BAC33A-A134-43BD-BA96-71688337156D}">
          <cx:tx>
            <cx:txData>
              <cx:f>_xlchart.v5.3</cx:f>
              <cx:v>Active Workers</cx:v>
            </cx:txData>
          </cx:tx>
          <cx:dataId val="0"/>
          <cx:layoutPr>
            <cx:geography cultureLanguage="en-US" cultureRegion="IN" attribution="Powered by Bing">
              <cx:geoCache provider="{E9337A44-BEBE-4D9F-B70C-5C5E7DAFC167}">
                <cx:binary>1HxZc9w4svVfUfjhPn1UYwc43/RECGSt2jdvL4xqSSbBneDOX3+zLMktldXqsccTcVXREe0SC4Xl
IDNPngTqnzfDP27Su43dG7I0r/9xM/z+Lmqa8h+//VbfRHfZpt7PzI0t6uJLs39TZL8VX76Ym7vf
bu2mN3n4G0GY/XYTbWxzN7z71z/h28K74qi42TSmyM/bOzte3NVt2tSvPHvx0d7mNjO5b+rGmpsG
//7OWy4Prq5Wl4uDi+W7vbu8Mc14NZZ3v7979sl3e7/tft93fe+lMLymvYW2BO8TIRRzOUFfX/jd
Xlrk4cNjRfYRw0RyRB77PNlk0M6Lok3TmDrc2OjxyUuj+TqWze2tvatrmNLX/++2fjZ+eHj1bu+m
aPNmu3YhLOPv71b5rdm82zN14d0/8Irt4FcnX2f72/NV/9c/d/4A89/5yxNgdhfr7x59h8vi9OC1
BfgxODDfp4IS6hLl3r+ewSHZPuJEuIKQ+6f8set7VBYFrNJfb42XwfjaaAeDBczpDWFwcbA+uLxa
HsB++OvZ/xgSROxzxQAKJV9Egu4rjjBRWN7bzQ4SF5t4UzfRJn9tRC/j8aTpDioX6zeFin+ytzx4
Pzta7R2c+Hu+/9pSbMH5LxrpweXlwfHf9f/cjbzqNcU+5YwqF79opi7ZV+AzXeTS+71DH7u+N9OD
ut5kj3/6973mQ7OdTXFw+aY2hV4tDy5em/sPminfF9JVHHP6YvyCx8gVgrk78UsbiNmvDeNl23xo
tgOBhgm9IW8J1nhwfHDy1SpPVt6p/pWAYAIrjhBRiD0LXVuboJgIRdE3f3rvqx9sIr/dZJt8b5Pf
7p2Ym+IPoGSrOoW39Y/DdPDal+2Atw0abwm8i+uTA295cLR3dnHgzy5/JReU+9yl4NU4vrclsJkn
XNAV+xhJKsGg7l/iEZgHBG2bb4AKp3tndnN7V/8ELzz4/it20XpbpnZ2fbI+0I/r9JKr/zF3R9G+
YgRzl8hn2Ei+z7BQyEUPbGUn4py1ebz547VxvOzvHtvtoHAGU3pLNnPiLy8Ofr3BAFuXnHMgAY8m
8RwUd98VnAFa7GUakN9GdvMfWMtO+x2QDs7eFEiL6/XBxQHkfr+MwUMkciFZwo8E3n2ODgZvJxFV
8JH712PXD7lUG2/spnn840u2+7LNLB4b7uCxeFvs/frqCvA4hKTqb4n7v0+cwX9hShBIDg+Lrp5j
4u4TxClxH2n1TlZ13TSASQJp1e2P4/Ks8Q4214dvylaAQn86OPmFugNx97GrsMtgwZ+EfAl5DkOE
IabuGcFOyF9u7LjJf0Jz+NZwB4fl2wrvy9Xxf4mLUbzvEspBmntRl5Nyn1BBMIWY//W1C4zJ/kMq
tvzuG3ahelvhZX1wfHz9NeU5PLhcHq9go/2qQEPpPocklIMe9C2SPDUivuXN4PEeH+9gtd5kWbv3
P5us/P97h5s6yox9bWwvB50Xv2QHsfXbcnJr8HK/OPwQui+4wBBfHoSZ5+FHcQCSQYASD/GHPQJx
TwnWoBn8ZPB50nQXFcjg3hCXPj4AWMCCri5+YfjB7j6DAoSioJl9feHdMISRcil54NHuDi043gAw
YDmN/YlQ9KzxDjbHbwubw4OLk4Org8NfiQzblxgxwtjLcQg0AXB9oL69rHQebmy+aTbJT+DypOkO
Ktv5vSGLOZxdHBz9SkjQPgNDwPB6MdyIfYYgqQE94N6WyHMndnhnN+nP4PHQbheMozcFxtGBDznN
44q8lNT9oCBD912MsCKPOf5OkgmSGojTDBj0PRg7uszR5hbSmdeG83K4f2y3A8Z2m70hyzhefT69
+KV1GbpPkQT5kqpnAeSr+CwQcdHLSsyxmQr7MyWZbw13gDj+/KaAODo4vFwe+B9mMyD1v4oWYzha
IAXYhXoOxraIzYgrlNwJ40ebpI42t/3dXfnaKP7KIp403kHjCBSMt2QWB/7y039BrgT2yykUrDl/
SBrxMyORap8o5QpKH+LKjq863txG438gV+623wHp+G3lk1BAW51d/8IskgDTokzA8Y8XxWQXDhxA
oROc26Oc+Wgj97nJ8SY3ZfsTmeO3hrt4vK262PFsAUWxg0+/kGgRSAehzI+pfCC3z2O7u/VvEtwY
ellAPr4LoRi2GX+Caz1puovK26JbJwcLAOVXKshwLgcJrEAWe5H9umyfCfBx8sHFIaiTPS0zn2xC
wORn5OM/W+5AcvK2IDn1VxDrH1flP2fABO1zTBFjkLw/1lGeqF8KACEKDstAbfLrayfon94aCPqv
DefleP/YbgeMU/DIbyjUn137195ydnHx6bUV+LGUBHiXcgkWBAotX1/4eZh398FpEQmq/rfHTy3k
rL1t4eSrteNrQ3oZlKdtd4A5gxm+IWAuV4eHq195YgwSQTgpSBF5Mbortc+k3CaRD5jtaMSXJknM
TxwZe2y3A8bl21KCrw6OV0d7Jwf+9Wtb8oetBGEBB112sxNAAkmAie9EjqtNZtK9k81t+9ogXraL
p213oLh6WzTragbhfPFLa49Y7kOwFhwOU+46KoTc7dH0h6QdHj91VFd3EMjDnyo/Pmm6C8fiTbmp
q4ttEvIrozndl4wjqD1+R3YlIxLqjQ8OaieMX9lt9vETcfxbw10g3lYg/3pa4tefMAK2+7UMjB9O
5KHnsVwB9xKCcvJYz9pJ2b8eefj5A0Y7zXcQun5bCfuH2eXVnp6B8wK+/qs0LpBUgNtijuTz83hK
7rsSDhaxx8xxx1w+3NXNnr4D95W+NpiXo8mzxjugfND/p/3XywzwKRrPPvGjl5kIHMsnHCn+uOy7
AQXUFSFBRrlnvjsk6+GW0V+P5mU4Hpo9G/h/+crSX9+U+HZrwYey2+zrJbEnN5pef/p1enB9bafp
a8Zyv1ar29/fUVh1sIFvl8+2X/IsXD9S0e+a3MFFmd/fAQPeXnoijAvEIYXfisM9WMnXJwgjAQk/
lvjr3/PCNhHcXVP7cAEH7llQBSbIITq926uL9usjuQ8nYbcVZQnnlyhc1fh2Oe+sSMewyL8txcP7
vbzNzgqTN/Xv7zDEvvL+Y9upCWAgFEZF4IiUgNoa4+CFy5vNBVwA3H76/wU0QnmfE7JkXeSsJ9sn
XliYYxaQci2HXuqomkqfRXUx68twuDZ9Eq5znLu6Qk3kY7emOiOduomjGvtBU8qLPGuHVeGUzXEm
hwis+tvKvjBgYEavjhcW5ul4uTOKxqgRL12T9suR4UyXBFEt8sBHJSo1qVx07GYoADr0WseU/d1S
wRGKp12XgmWlLem4NGFt9DQ08UmSVGo+VUMxi1un8Cc3dXSLbaYTwk+Hzg5aVG7mu9INvbjkdjlO
OdeF02e6cCuppY1OiUvaFSlh9QQdTlMahMdB046ekUWhE5ujZT2Zi7KLZzY110mMeKabyimtLlPV
fUyMM07+WPXVWRFlxSJqsvayoyg8SmqpdJIOZpaWJFtnLiqOeeuaY5tP/aeo7RsfO2VxZHBKZmM2
VXNbNjOU34xdhFZpHi6cJnZ07kadH/YYXbO+GFayy/tFSlOlgyE081i2N7F160a7BWk/loajRZQ7
8XwqcqnjsDIzG/FiUZD4movgtB378you7aru/T51PrI6dw+bNM7WY+x+qCfiLLhbHtqRIX+MBDmK
p/A4yzKjy1BSX42x1bw1C9qXqe6U3DRZN/ldz3NN3HhNu8DRpBtPBxTxeV0lzaxFAfWciDbrshuG
edAGxA9Sc1IEE50PFi1tWFylbFgH0xj4oS39rkSaOKFXxNVa4IDrkKJqHids8Mswq+dmIt2iiBWb
kb6sdD6MiZ+NqJjBxCJdm7JZcSvQ5z604UyEfRNpjptxCeejzvvWpWuwGm2c9jAY3UozRbp5GQ1X
Q+d050M2NP6QMaRL0c5D1pdLFDlXOB/6mbGhq60LmERFEZ26bUhnHaXpkRuxGU9iPKuVCFYqF2jR
mChYMVYqT5EimlWFKL3YCO65bWn8bqDTlTNU6yoJZ07RdV4XZauJWuqnkUlnpoHdPHDqzPvSKXSr
3F7TpB0P+zBC3mAas0Bd9geT+VWTNJ51CV9UldJupK4g8/Fr0YaapLCWvGdci6RbCtr0XlJR6eWS
UC8lSuO0Lf3eDXTbuXzJAU2dsWAh+Ps8rxPP0lHpiJepT9M29p3AUV6Qxv6QV1ZXUsWLKu0vcI7Q
oRMyMLV+6P0h7VtdlI08HIsyuYwpdvxRysXQs8uk4IOfqMHxsjFCOmnjE6EGosdIEr8B9+s1MRr8
0SELp7cLThxnxkR40ZJBaZ65hyFPVlWmLoxqja7G4aoZzCEvjdc00UlX4XJZ8MnvZTcb6vdTWp3K
CteeRO1FFJXqmlSJmUMRZJajdpMYEngitMc2If6Y5Ve1Y2dkcOdVlN0gnM+aySR+KnHnVaSOvJqy
E3cU0QJPnTZxdW56d+1YfDrIcB0HOTnOROUQHYyjnIeByAtd0KL+A8OdC1j3HF0O9TivSUounBqF
88D0CGy7G246Eg4a5VZkmgzU3USpgfcwrdUw1Rygctno9W1LdVCV6VyMTeilUZt6Q0XzpS1NviIJ
cXTZ1qFvs4Sfq4AEOu2S6ThGVbtMnTBaU/CLfsLQdWYM8cD79Ycj6tsr6ypwFg1zNA0dtOgjXC/T
VJpR97lER1gOaOVWrb2ogqw961taLk1BpA76GD4YF5HXTTTymtSiI1EFp+U4ri2h44yL5GrM42ad
BA3Eh4S9b8cpmtlSJh7EUawtyeuZQ0p7QirVekgFkd+wNNHE9rGOk2nSbl2bVSiHVMeORQsnNGYm
UReAs6v5xyx31jKYwN/FzMsmFS/zXsU+lI6npe3lpB1cfJFhvkRwZ33B4Xa053RJsqxd84k6ls2Y
Cc6lobmHo8CZD/XQ66SLulnvxHiVlXF+MlkO2eSrcYx8H0GVwBD3OSYgXctthH0S8VWR93FeT3gJ
FixLDwrajkfbutIqldJ3rHR8U+HkspnKZpnkTnUSbK0r6lx0iOKgOnT7xmr4WYGPwsT2POkj108i
C54vxHl+wuUULBOMjB93abg0QZMvyTDUMzuN4BhytLYVUktZhl9yIR3tNHA1PrPZOYzDmYXN9oDP
a/MFcrVLGJ5NdxvVn0w3ZmlKioTjpcPr4KK2A/XGUdV+ppzJe70rINnfdyXhVwVAZWNMie3zJ13h
3gmyJhnw0rTySyPTSo+cfaaqz33Ly4+vd0a3zGyHuSnxpDegqE97c0yQdUMRkyU33dnUcvqBZlG7
ivvwFhtbeZVImrM2SqO1asi0bJyB+iQpuVYibI7duF3GgKRfw9ZMRTXM47pt1m0ABh8ObeYbAxAm
vEd+1MTcJ2ORn6E4ynWZ2MFLBwzfVsRG19Q5GraButqGbAax+/V5voSfgtQHS4olkF70fJrYYRF2
khovC7c4L0wmllk86dZE/G86wttv2l3Qpz3tUOGkGfIIkZAuu7DlSxa4d3iqO50iUnh5Iv4QJFd6
gJxZu1umUMq+gNMZr+3VLWQ7IwDGjwWXcFwBoN2a7pMNlGS9QA7EkaWoeOglIkBeRkkC1E04Z6Zz
SKrbKk3+Ztu+NPFn3e5watIU4NyKni4dxsENWH4rEwyR2QaJNhY563wcTgKntmfpluXIvkn+ZuIv
DgFAhqMzcOUMhNEdp5QiPNRlZvCSmtR6NYREw+tjONIReEHDHZ2W4hTOfgDfpOIzeP1q/vrKv2C6
8Dshf/a/4yXa3q0LnIds2aTtZ1qb4aTJA7rOKgFG7ISgu7yG8zZT2MUZrjdwwBhDUs93Zhv1xrFN
odCS0zo+wn3Sa1MHzez1Xl6wHFjPP3vZmVNNEe1SXrBl1gxY9zBBXeds1mSi/Bv4XuppOxW4Gw2X
BuEK1PN9i0u3zadJoOUU9L3uFf6QCncFdvs3M3pxmzztaMfnQf7RNkFqGVhnKe9M35zGRLKF26pA
m7Gll0nYCKPDLT2utkSZlE0JtbDXwHshZYb6oiRgonDszoXc/flsg2joK2kCumxlXC6n3nZXJWF4
ZcxAlyUdrovSTfywC6U23Qj0LYwqT1Yp0jJzNo40yawsHIgOwC7ywyTMPghL0zNsyPvYiuJvEmb6
/WZjcKCAw8UAKAgh2OPPh+vgLgmyycLQwvYwH3mhcYTMophS5AlnOh5cMczKFi3bOhp02JtSQxLq
zM2QAH3neTrrMggdtstXQFODWVxgPyshp6kdPGpIIr6UZR+uUJUBhaPsEMuu0iaTkJ6NSnilY5pZ
ORXArcqg0l16RwzCeuyrzEOiY0d1Xd9TnAdp6Ozeku5VjpuiHK0Jo4dfIfr29l9XRQb/ff3hjT//
uP0Roz/fHT/++tGrn1rcFdtjSPXuh7aj+fZdMJiH0W3FoWdvvlOq/kKLuv8xpb94+O8JVVAYx2AR
3zbzd0LVk4Pnf2pVD63utSo4Kbc1YLhuDRdM4QKpgs19r1VtzzbCJTq4wwiCPZz8dWGfPahVGAqL
HMMhCEhV4XwKnPX6plZBxR6CGZxngScM/iF+SK3abtU//aZkgkNYJECU4eor/NyC2tnKouZOKRu3
mfGaL8d8PBVB8gWrfN5BRHKC5rwrki8VA3r6ZJUe9tNTlUzJ50YEPUNggkQJK6jmcZjLTmQOI04n
MaXtTASuvQuYRLpljFnd8w6HK4ImFmsD30O1NM50AdFsSFdpF00nBtflF8bdcfCSsR2EzhOlPhZq
LA5jwkihKzOyzA9D7sYa1aM6Y2k11LpFXTSnPCBeZGmxmEQn1w64t3lYu+Wk8zEAQx1DpAdhT/sw
FaAf0ZsYhbnfJmoeuxR7jRN1Wlb5xQgSim5CNBMOQYdNNCDNBhtf0AGLTg9DR09w4eCzNMTJiYRU
VOp2iPsTquKr0FXQXzAO9WKgIjsHFzJLyvgopnF9nJSwFIM74ckLBjQO2iQGGvejSbysqLobKhx2
3ch6qL26xeGpka494nnGPWzGQBNh2q2EN0qPNDzWNI3D96bH7oXg3TALpqj0w7RY4J6052NRMT8o
muhjg0IKDMkyZz5OCS082jnqtHfq5kswEHfQeeHa0Avjxr1tyr4GgasXjg6ti64HNNXwTwJ7zA9K
Gl3URRWkOmdjkoMuEYLClCVjv1BIRYeQQvWHPXfyI8KAmVCHi5PBZOwUmclEM5KM/KxyEukJVqMj
Uw+t15ZDfjaEfdh6E3iuXE+VbNZCZiCalmWQLwrWDkddrJp55AS5F9vYncemmQ7zoSuvq1zJ1qvK
2gl9SXnxngxO7ZPGUY6WCegxi1Z1bnEWElrEOmJJVsE+gLjodzn4VFaXbqO7omVLuEVhSq+I0PQ+
SwlKrA5k2DQeGXEzbNXD8RQ+11ea9Dm+4w78VtosbLt81vHGPYtEX2MPdU7IvdaK2OPYaVZt3TGh
VV7E3SLsUJHoGlTqBYvkUPpFWPL3fOzkNJviUQS+6PIAdMJGKS1sHce6kOW4CrJa1hCkeXnctlHz
ucoJbKSkQh9DVER3QSPLG1gZc1EnuXsqE54noLakYz4zrI0+sjwzkTatCeckzinTcD2xOxOkhV4m
EgGHDBK38cZUss99yeq1mGIxeAHrUmAJHeQwfkTxOCNmIJD1pOMlKSZ6kWOVVH6PSTP5cVahTE9b
daTKpAhByOzL8y7A7udaFdEHKBmnasaULY7dNE2wr9xQvO8aCIiybfEwa6kZNlnR1Nd96KZEE5BX
NhXINpA/SSfxMbagxYk0tsircIXvnNrgy6gps/cdj4NzMVD5MW9T0umIpoHjk56iqzCI3VYziOjl
rM15dlmIis3qsRW9DquwzHQQi6T2a9pmdG4i1cSw7qkD0vIgiQ4jIaYZ5DhqgaOutV4UTlh3DRDR
UU5dt4ggj7+wfVcN2g1RejglkM3qYgzAiyQyC3udpb1zOpZjnXk4Ucn7eHRcoxEqYiATuSxuEALF
2hecZssJROpaYyeWI3hCIldtbmA+os0KsPhYxWdOlkZnpJG8BQmRgy4z5bg/N4Wi7wFSEMpLkQkt
VClmARP2Mmxp5LOS9TM43Zqdp9jEs6mshQCxdKg+0hqiCTgzNH7qEROfwZkDoqrMHSArEufcYypz
XK/qwjjR4QDcUDsqGyYNRt5QrxlgpFC3WLehGHMNI3QdD3c5uIUuCHjhJ87UnfSN6N+nyMaTN7E0
rnXQuQRUWtDxP5mm7rgH6SMvZwg7OfP7EcXHMUj8Zw5X5bUaB555ddBJNQv6nH3ss6m8rcLJpj5k
7+DSDXKdymuIDSevTKMJ1Gdlx3CFAwdUL0lpcpLlGYrOChT20YwJ0JOLToTRok5p465HB2Q4PbYY
rMsWmRE+q2Jn0wd2CLwxDGw9y0kezOu8Lg1kBZLNGa3i1O/LKSx0QHOHebBxbOdXRTKEmhVOlnhF
D7JuFRQjqLkjr+EjULeK9GBVe2QhdYMmalq7cVd6JVHBMewk+1l2Dj52Eivft7HN1l3WJYdTjMAR
o1qkSxGNEEGTvB0/ZHDwtfVCZfoT1iQqn2UJeOoJ0m6rxySqKg3HmeVtkQtxOSSEasMQ6JV9iZIS
TE7aL2PbRedW0DLyDKh+sw65/YnKejyHiXYeDYvsQ16Edh0mqjAe1C0yHYo0TKB0NB1mJEeeI9v6
UILpzSiMfDNBgaftI5CnJeKjnoBI/REGPD1hQVv3s7YPQHxMqJHGIyUckVsGISiaICurYIPCUVa6
FU0yHhViTDGoLl30AdEBAdAqNbGnhgFUxxLD3IYgGj/SiYorcL/l2WCJWIRoGD8VEJ+PBOizxlMp
ST9BZc2lGteTFDpEYgq9LpYGeaTFlavrMZm2nB7Zz33LmzMmne4kGAJyhmTN7+jYO54KzHTNwZBu
QFMImNcgYeZDkS4IM2PpqaIJjLZpY28n04Wlx6taQtHAdXi4BY2cG1a1l0WB21WLSJIeVV0nP/E2
ir5MkGdEIGVWXQTSfgIpWRtHkzW6GQbCVtPAusorwkB9HHEpNhBdzLnAOBrAbZUZHjRp7ZT6RVM6
DdJVnchTFEDI91g3sWGVypzHnkMt82vbcn+gaQ1GMCZ6qJ14UxE3OCm64kOX2cjPbTD4UYwLz2T1
GM2BGFST1zaO7A7HiIlLAaJx71UjT4WXBSzeVmCc0s9gJXAWjHbWlg6NobSpbirS0MM8EorrQeLQ
ekHh1svKccRRy/CnSgTVdTJQ9odKiJsuJYJtNnNJbSqNCZAEzVrZfFHCiStdtbJrQffl6gJREQbz
tqPjqFUSBrUfDW0M1klbEuq+pxY2TZe1eIZUnERatYNTHLYdYx/6poIdlYHcCkQoZRD0EYQ9m6I6
12pSEC4hwOMvNgmCAvx0Gn40Nu8mz2nZcCqMqYmPxqybRWYMMy0jielRMmTj2lTG+SMwtlXacGYS
qD8q5JU8aT7TqqtHnbbG+Rw6ohAercd4M/QUvIBLsqLXeHLwZa5KxpZhVwI3YXjqr0HcQBCMnZrW
qzGAy7YatkAfeEkcj+HxCCLFBcrTSc3TXvSpNlA2sV5L82rVCCJvs4BYb2CBp9wk9W1Vuh5tsJjz
jkUf+gGqSNyZgLHZIMI6yepCd2i0HgkG1XluHkyxbrBzM+Kw/IS4lzc893oGdZLYnZQOG5XNGVRQ
dR0YqtuphM7KkJy2sQrBPfDIz2iHtMNHPzNDvgxdPsR6hNrfeVyCXt1nuZqT2qYz6QYMQm4XnI0B
hyRbtmqaK5vduBPBH2An0i+9qaGI2xkKFlZI90y21h7FICc48I2pvJjwaIoZatzo0hlxdkzaHtYP
jOL9wHpwVymlU75QdTx+CJiqr2o4S4B8M/Fh9FsR1ljjsWy/uMAGb1jU5UIXCn6UwStogGovg+zm
C1V1Z73JiaIrVo4FhNiasOO+pqM2xIliLySwC3Vi+hyK+1Cs/WIcCWXPqcouexCZG13mQdn6TjZK
o4M8jIBUNs1Ali2jg/LHZBjXDDYikN406yAPgEiLkigqNGcjjSCM5VV6kgGbz/xkijsEpdLUzkIs
zGWZVM5FMU7hbJI01FMmJ+WhyspZT1QPNaOYOppXLRSu0lw46yQNOoj3o8l62MTCvSoCqAVpGozA
BCFQphWUc7uU+QXeqi/hJCJHm7IChuSwEZZWsuIaN1k2Lw1KxKxNSnQ4TANUYBooS9deyOv0wwjV
z3qdOW10l8jQRlB6DIAV5U4GFBFuKocNiCakeI9aml71NVK3JAuLZT+OQ7lqDdhoDplxAUVkG29i
VoRoDmksP+3HZMSaOnnqahIifOiGHdBDN3dHKO3nSlEoawcMnAP8jPEAYbiozq3q485rMtiG2poJ
CHbrQJpTM4vOiISyzWGqbNPNR8vQlcwt1b2T3uVTOkidDCoKtcUyELrLnDhcchHitbA9PymaDihk
1PSuWptMoXVg4VAJuGUoeIL6b89qGpaJZgnrAUcOaV43lPHCwEn8Va9CXnpOEd8KWSOrqTT4ELJk
fi7i/BCrCem+KlYZIdPJECXX0SQyv4Hka1bQfpHXLF2Ywml8gkOieyJOazCAU+MEagZnPUpPplAM
LyTQD1t0daRH2SQzKOVBYjGZ2IdCZKuHrkfzhFqzyCucn/esyc6y0RZ+g4E10kyPNoBuRpYeFTk2
M2eEXESOA5CLIRan1OX1PC/SZQuBzYuBX4Z10p/lwqL3KM9IDQ42dv3M/i9759Ikp84u619EBJJA
wJRL3avv3W57QtheNkICAQIJwa8/2Sv2jvh2xD6DMz+xZsvVtwKkfDOfVM3fdO1ssbSUvzieplU2
yu0Qa/+YiADpM40tPw2Rz851Ukc19AltHFaoLCyzemqvhMDqHUyb7lVoOv0g0iG77M6sUTHUWV3s
WLz/pHNynNJw/jtuQj01zi354nT2fQhcekkEZZ904s0/KTbQIsEbZE034CWRDad8bGsRV/iOKnja
OUuSwrPRQ/GKeXzrzRKe6FSnY75mG3lDXhRcu1rb3GXBeEq4cO9jMqkftQ33taDhFvx1NtHzD6Yw
BkEAtI4edJ2G+9FItaZYSakvlzZqwnNrx+6fgCzmthEBZelEhg1MehJCDYybWg+dg5pUMs2eMxIh
9CXpZA82Xh1mnHBkWWFbMtQYM6EUSvW1Z44peJKcjSkWqnRlqyqhkebL+O+ys+BX+77waHelt20d
lt4HuClcSHfABD3GhMMgmfYFHeZIFWNimc2ZJvzHkqzkzxgjgC/R5lVbmc5pds5c5rNTP61zUzAt
IKJX1vE/acO6soWTc53XeX3YpN+TIgwFhKklkv82fbQMeQTQ5Rm2wHBaLGMv0YJwtWrSEEtinfK1
bOq92YpxnAeQH32yxce2rTGcy047mnNHw5s143jqFgf1tKTCbIch8MvvZdvT5fivnfX//dH/tfL1
H05nzOEY/t/tUZyt+r+cWvjFyZF/v/K/cD60WYH0A84DNhfhIG2kN/9lkXL8CwxSTr64PbwIOch/
W6Q4hQweIrKL/yb9/gvn+zpUFkR6BoMeB/SgQvP/RPP9zwjzX5syITBH4bfCK435V1DzHwEin7vA
ESuXg7HNOr8KWCJvexJoGPlDxh+jRCD5BpUwHXToh0MULrLqliYu/+Nt+1/8UvovoPg/rFr8GgmO
GoJB9dX8Tf9Ncv7jNwljxyGrMloNZJ4/VLrZsuZZfXZNT9+sarObx9i+c5339eCLcbCntMuCikgf
n/C/2kNAFLAxJfofsQCQpSFWYXRBvZY9prCncNnq804hZbcssw9CtqLP5RSrKgIG8yxmg71+ovqc
it4UwRTsS+Gbrq4Co9aSxclW6SbThQjt+kkotujDwmNdyXTLrtwqTHwZdaoA+KHAolhPzqbm/ucQ
aFpYGT30LQtOKZdxl+/zwn6GcdjdY5g1BnheZ/fch9PV86Vo+eZ/Mbbs/xBl4jewndlx2Ji7LGqd
n9pOQSpLoVpIhHX4tSTpfLbcmUcRLeQSDoSWXKT2ACR7eWo4w6Kl6VaFkl26YTz5NsCYAvn3vkUZ
QiUZbdiuJOGfxNZZMeDsiHexZsHBjoqd4ZfV+e4Y4nrRBAe8JDx6KIJyWIU5zVGY3ZqArWeHoz9K
s3UHvTVbOWHmu25L0D5YrPXVuE5jldiJqsJOmh22ZI2reom2qon58hZP4Vhm7cDKpJnEa6fX+BNK
rq7MNpuKmTA8jTPb8adNT7vC9NPzYL03vZJvdvXBt3Wd3AGioz7h7J4QUpm24NdGWbDduH+mXqYV
75V+jvoUSrrmgb2vY28ubcOiEkP6ARzNPRLTKdXBNZ0EHHMf8IMLk8eESbFBjzak2JGB0V5TaHsT
VwmcxqNi25LPM+LRSGxf9kRQYoBQxSz7aubzE4YfnncCKRaMAl2uvWlPDHNIOS5mehiVWj5b2SzQ
NMsA67fB2KOD4FcCQLRKnd4e+jhzZbbifmpxWx0iOyMKZDNGEDvzfxqzZMcV48c3UJBUgx5y2x0E
oMbPHMhz6Bl5smA+HsMR6MoEmrFcd+y0faYf264zuejtfhzh8D53XcyPXRftz9FSy2ragxYkAR8K
x/f2SW2tfsSJ1k3FaBtX2kp+FhONilhMILh0SAsHYXEa1nH86DRjuJpwM3SnRKWz/i9bRVORNevf
EIRAem8mKfE9hsKKiZ8c0gAQIT46D/GSHrVuaMX0loFHg4YoYMBllWnCtPC+HkvTsPZkYG5XCu6J
PybxgOFBAUI4WBa7BEsEx7M2K14Go09YrvutP0nbsQuwPVgMzPPHdg7Yi/NrEer5wY/7fszcEN/T
IdqOXztsGTlO7k0KZhKLTEVT2Pe2B8S2+qIJtb06wtrf22DE3x7wS5F1C5isbK+hZdbwEdPI9Nlg
1T8x2/GLcW68a2jM865dfAjQpH+c8WsXk43rl0ZH7Ccd0/bC5RKfFoBzvw0SnReszClMjMH8oJOV
BUlkXcA1hmUyttZq6OqGqzMQ7cLj5p/g1Vu7HWNMXmspGtljRh0hmGoBKRXPyGQetAuBFlnTyLsF
nF0KA+5WNo4VAoOfzuu6gR+jTQJxPYWsK1K4DUtO2MpL19YfLArqx6hvh71AbDzQfBQdrnPWIon5
3pPUPgd04F1Ow9l8zNO4F4rUzSNf4OVh83N30OPbAWvadoQHrS/r1ovvI9HASdPG4LkWLlhyIIXq
sI+rbgoEhZ7dxKjiSxJFdVSxMfuzKa6a86j1VK120Ze0A1oXtdly2uXQR/Cn2ZojE+FHzFHwanHC
6vi3HdQ2Ih0yy99kTr882H357ElmTyMfHrUIvk1+nU86QNSMUQPyUbf9jsyDZBgGOOKBHZHd9y5R
PMu5aIbPqDfdOZMbfkC4Jud6bdMCqZk+C1qvXRnAUZiLBUHRExGrI8e+XmFKcbm57Db2NVF/OAgz
+0JkH702I5y7A4ys8eeMR+FnXVP9MXQiuE8N1yKvB2zQFTH4aX0Gk2SUkQmwSdXRB/T+p+qz4Lql
sa+vYQQ3g/N150W8wOkLW7aygn/d/81okFr4tE9LCWAWWO7G/5KNxi/YCuf0vCayk8/LPA/nJSHt
qzUTJAFBBFkyMtH4wfXZ9BdAMwvhBCX8m548+72t6XZexjE+bq3jV7659E/WJyTKaxrKUwDf91bL
CGB/MK3TKxUxv2uPd1WpLjk6MkV5NAcTf1E1n773EZ9eIqzWr1s/TSepA4f8sqHxYVQi5XkWpf7O
dsAUUdw2VTJDu6xRnWDiWZOPWYRd+jiTOpEXp16CzKXITGG5RxG45VANNRR0Fk7hN6R97fc1lpbm
AFL3GUFFs7CqHWz8g4di0o9yn+RQLa2GIzR3aVh1JDCwKRADPhPNBiy3QfMs1nj9BLdM3lmwstdh
If0lI3N8oMwPjzVI1nfNM3GGqoHxzB2+BbTWKkumYZiDtV+P00AXQBBRCtc0DZ7jjSK9nOxc6HUf
/iRfoVPqgmAraFO7d+OJlqVCMIRkRCv/sKmeLtW+bzC5d+GQkzb94E+SrLZcm+Zcz4P/JZJgLQez
iW8N7ec73JIeiLsghe4jVji8wcXusH/2ciqCzKdngZTj0S4Iic2UzWPBwj6AFkuP3stOYFGFdTYX
CtmqvyKiDCK4Taulp2T2+3qZBykukDNDuVEixRtkA3+LZit8kY7Y34+ZTMiTmrodhg9sebUPfEau
ycwLvuoQy609GuvXDSaULnkXJgDJ560SA/zHUs9m/hxrjoxZxtuZSLocagVbIxYsO+gJ+NdAku5Y
D3vz6PYtPiwR7tFImPTGgwlRYAOTuY3yMfqD4oI3+pMDsK5j9A+YutDk07gV7G3naoRnCFN/QV8O
hwUJiS8B77tvgdimp84gTWKq7kBdo8XzgHGb78cttFyWs8qOaaBk2aisO8o6jk6yafgxDtu0JJq7
6WEApVKksYUJZ/ux8nVItqfZAx68DMMe33nWuycRi8DkDiH3tVWZenO2FuDkw/AYu7k7yzmWT04I
NldyHLY/jvZdgj7OKr+lS1aXOohlW2ZyTlgh4R+PxUrY0FdDn1JfeT2Dz81jZ7DVujgR53RGcCBb
5N9FXfcwfEDBn3Fe2Hjgk9E3ndjwQa7JBN/Fqg8/CEYvrnFBKVfYRKesrqfuhBhM30CK2BEOLybr
sF0L7khwcsyRXwib2FO0UpDUZt7CV6w2IsaNa4H2C9/WpVnqqne1u6gmuxmACSxRXQXRMx4b+Ie3
NY5nOP8d8pa1Xuaj40twSSUMfRZkj+gLwLPbdtr9sTppHhVWRez+cMBy4yNMD3arty+sXN+TroV6
C1z4MYZt9oQNbroO4RpdEV4sB8CW9hB5RGjSD/Vf2P5dpXA+zqOHDwABndgWGVdCsIqOwUfAd6wh
m69rX2SjDo9q7Ocq6eLpZV85jB2/UPZg6jAr2mz3P2PZ1c8bVvEjBcSe90sMWUZ0V9hu/mMixGO8
CacyicmInbOpITp3UsZkfagNREG7sivDFarkppLK8XB4H8G1VRwbDdDHSVZ9Wyf3DTDvB7HmYaJ8
OcxqmI/dQGePv3pfbiZu1JUjbMNCQjt7GjBjlFkj6DmEY/cc+bgrok5fu6F757T/A4PtcXEpOkZE
qGLyKoR9rddz0KbYmeRcDAlSek6W/bGbpv6324x9HKC+YKjXzU3sSpx42qyXhPxSq8qXZYngwaki
bPx2YuB2MUvtK1o8W38g2JCa3DUbLOa2aU6gPraipjDDxNm38UVs/GZ0c1V7y+9N0pCrTltkgxKm
T7GP8Vh2xAWQjD18rwnw/uzWtxEP0yHSzVDwFNlViHpFKVKnnpsNirY2TXRNFxs9oySWXlw4wtYl
sPGSIG2PNZ72q90Sr3M2GIQni0bpx3ZxkWy4NQKPQBZ1kVPdcX5Upr2kajmGYi1JKo4hGh69QylC
x0jzSNZe6p7IwlDprwbAZ7lx7E35Pgz2TJKeHGQgWd5EsTFFD2il3Hd/itrpNIXQEHvk0gJQFpAI
LrtzvfdY/2ADfZAanGAh+i2ohhlWnWim7BPFjOg41xv5ZlJI9mxqusvod4suF2nuXRCjCrRm7rQ7
SX+AoWLfeLKPL1DA8oxsz30oXQ9npsfghTgbv6h9Ulgr4xQ5lTbiZhYp7qKf4FBCtP3GUZ0YocmI
LAw+1z9MTHEeRMvNT/I693VcbmH9K/TY+9iGXEGBFWmDtwl1uCvdHIJ5kLWnACzG2VOb3ZHxZK9p
LZdSN5MsBgIB6xLNqpmRtIyT8RYKTYAGDSUPa7APEabIsH+RzivoBG1+Eo5UvQ9YDdLFBOeZ0ZNX
e3AJWdtXwAeWBwBi8yXJ1EuMfDZGGyqnkXkY6Lcp9HerwmpnyGwW/l2J9VGvITkp4V/TTB6aoAcp
ZU61Il/bEriPmgyugDT8hurVZ99nJXXtTwNjo+gM2IIm1eJFApc/ZQsMQWwz+hapleI+NsM5S9U1
jUV/aXy0X7kRQZXEaXfqVXoEbDQgAxPdqQ51e16XrjkyZ19Dpts83bQrKPzScnfBpHBzDPwcxhiu
dtGr34zK4QaDFAQCchpeSos1kobBScDwLOOlC49N1teHQSX11XdxXwVZM58ygkk/15NMbm2Dgk7q
k3KfU3c2nYI5npyJFVfS09PO+qkaSRu/j8DtbmGUsPdWRiPWXLdkVUw3bIwKRBnPFbIWW6TSxocd
xbePYM26MmUYUXYeQIXt6AOIIXSvY9I/qTjM5QbYI3W8ElReln76o31s7uCtAsTxaagrLPCXcEzL
yZD+AItpPMtU1cXEvEJ9wWx3xGmu5AkNfzP8fcCILBpoifbRpw3S6QyuKn3yoGMOdehIqRPk4k03
VoBawgN3C7LFGt0vMnwyJOUvrgYBhN5Ttj33YQxIJg24OSxgAI/4lMwBOWyIt16BTUncmqGZEzRN
Ppr41usoKvnI11uy1enNseHetEDhdvInYhGAkz25ZNmrD1XZCva0td25X9pfoML+bA04hTwcBwhx
OqFchCBmOs3EDAdsm0Gxxp0vJQ3CCujF+mCVI5iyg/aEnQvVmvhEkrlcI1euYapg5fenNB3wQCV9
hd32D1/pQ6Dj7Dgn+ykOyDVO3Y7K4HZAVv/dUtQSkQowVNmwHbwaEm4PrBbfLaN7YYbgg7VZ/NhL
v/wMYrSt8O9AFiFbEgwQZzZhGoNECV5BItwHNpWj9GGRANW5TdTUuYzpJxbwBlTWFH8w1pMyEBwe
+0Y+gFJlpeQpEkgjDtDQhRlVsQ3LHxvONHfYmvMsMUgJbIpopud/VULPXLTnXvlCrP3bxFvIy3gt
2sk1+YQN/NCD4YO5cez09hmMaYSnJ1BVu9Zhm3dRt7xiyJ4PXdTeZe3aY0aWp9V0kHqsFU9iZu9y
yLYi8cyVpAuhFwkco4RQhAUz0IipbYuopR2sPBI9eM/nMu2cLpWRdRlrXtEZVKUZBoPkwl0idUPa
cx3XtsXjqF+t7FFv1Jc6m7NTO9sHvmfelLO1WWkH0r810+A/M71c5D6rvMPAkfejRwOk88dlbKmu
Or8NZ5BF9hAoTs4BEfSEQox7mnbX/GgUMQWe0J8Y+d+Y6Yr1iY6IJqZ/Evhcb8ichzOB9D0LOEMV
CMNbwDsM1EDBDqFP0lNEO4nZxD42PewWa4fxgxG5n5TcUOJsg5RVZBxlrhdnymncxhtN4JhhbKgP
IP346y7WtqjD3d8HcBrwMimfzpxLW5rAt6XO/C0A/Jhnq/S4UGFzHGmNHh1NNrTIR9a+u9hHD7jP
Kmq3G7jB+SbraM8BlcH1Ou+SphW+dv6c5yg4o2ffIjoMtxI/M/k97vV8ctn6mtXytUfX9ZgMcjya
bFQfgYbzPSG+BE+A3wuNpkoB1/iqktqqwT4PnewCmK9RBBU+vvAQWdQOnbDtSYS4K5j0eR/VWEzr
+j0enId1YMSZt010Ry3oC/IXASziTqEGDPsGann1LL0l4CBBACR8TMpY4nWgqlwptIBDNX21axqY
OWqjSBilf5ZzM5FSffnh+BCsFU6qPyhKm29qj9UNvKG+aMb9WM2tBJwT1DMAD+C48rgqoX4YuS7H
RbH4MEBpQlApW/YRduR2B6SWm2SkAdYFMEh3MHauuTm+XYHSBB/o+O+5HDF6VGD5yRs+BwIAI02V
mvNu6OXNz5BkST2Sk0P/+4qmqcbdqfsd4NfGk4eE8fZaN/N0wpewKqTtcsMsTz/arIvPZOHT31mM
kI51NN9Wg4FJByx8pjpuHsGQsOMkDFq8s4YAInwiVdNa7Lxu7ONb6Jby6zQCHOlKTS7hUtyQKdNX
29Pm0m2UvmHh14+WM3F0zQTMNjTTdKSyZ9PBhz2N825C9Inhf8TWl+zFFk0ONtuEnL4YNip+phzr
BUCXVb1Tkt5thhJ5sq36SaIuXRAf/amzkP0KGUF7AQfV1P+gN96/QYZ8l1kMJlWZZ2rnN2SIrnRf
hpfd19Oyb+NBQTtfQSLido1hfKVcuxPiSf0TsWNySsdIFmNTh5UbQK43sAfLBvDWU2idL5AjLB1i
7hS2maILHq0IBh1H5bgfksPQyvEhVQzo2OST4yKWd7eJHm+++daSaSpM2+sjzh/gD/vStC8gb6Yf
UZOCgQzrZD2y2EZTAVpD5CO6+gCP3oTIsjO6VpA7dgBuaa++lRILnpeXjSZ/W8j/nMl+KRUsKKwE
HoG/AxbxRroem8m8K1/ahegb3+snm+xPvOHZs0hSD3yyGw/DQn9rkeJmjFt29z20MfBJdgXJEvwE
u9hUQKp+ZAtJT3z8Itbx+bXF5jqIsIyNASKiTp69o+SEXRejMb0g79XvsiPxAyW4/XQSNBfr0+CE
wW6tIN6flxaYoUcwdUim5UYg1Od0cUe2w5WsHN3ns5p18OA2n8HEiN4EWNNSqx7xilHgqgPuSksl
LHwc58C6sVgIewz26auSHO55WsfyQtIGQ7FSGZwhrq6L9i+EGjycBmcfJOtKLrTOXje/RFeh9WuI
hygP4/VgHErgfunehk4+bAugPcHHKPdUtiTfFToWRWz38MS1WQ4UCgdrIaxRdLcyhzV5TdRwzQa2
CLgABujAtjbwqzkWZJKZ8X3LAv7PECdwLQeRFRAWOy5vPJ8H3Ibllo4DKIpdjYcRy+J9EXP9ZPZ9
v2wLT9G5W7oCeD8gQf7MZ6DpNsp+cgm0xDe3FG73MYoRjpuNPWfQRddWgN6d2rLtzcdm5WfsBhit
MzjMaUjyQD3XsxPljoDl1QALLmgwdC8sHMx1moeldA0XHzGV/KRAHpern0FtmLQEmpyUkxijKknB
vPdLljf22SNruoN7lReJZ+1n7+u2LrpkhOxeDLwXG+MJaHR8I5YiF5uiPqxSEL2Ni9LSE3NGr2TQ
eRTv7THdEAnaFmohB6KM7aQHC1GEcRTCcuT6yKY+w2VMe/oRTgKkamLH+Jz6Tv8i8Brw/Fg63PBN
5UWn2/uSwqLqAnoYsL7ds62TCerePvi9A52usB+CbF53d25GDZovA4vxGbcmeMPcz247buUPrztX
eHjsAviDmB+xLqCW3dio+8F95n6LZMFcB9MgcwiFlIr366xj1MkEuPiPeJnbRxd4PMabwkVAxrSK
h3pfJdjVpYXM7ABZvHWEz2fhhx3LlQkdSOkkfreCCH3sEvhUuokHDSczigaoQdo9NnEa6IJ1PjP5
3vTrjrekjcYCZ6q177ZbzRlxFGSctrQ9YKKOTkBr2z3nw0jxWtqDw1Or+5SJ/i16FhTLBqzBRoFD
82WQZTjR3x0EHwK3HYZVHkhYIrMN06ujS4uVYsB/pR31fN/4ICApw/hTS1TMc/xzON8DMCG/WEfb
pJhpPRxG6+J/JAT5YUdX4ZzWDb8jZfUPFjw07DFkwoavC6CvLn62HGhPLpIGN8qU4OpZwdkpCGqD
/ElshcRHi305XTqHVHQ49iq2Bw3erUiIbE+hNy/cR4ghu5qgyRHFQSFr2d2XgPtXOGviMA09sB6U
54s0mPolrxVHQ3ED+oZ6B/eiTHDCyC/AXYurAM5Nlzno+ncKQKqkcGVPOHyAPYK6VzhIok5XRNE4
PYNNHKoyQj2DoWUYGt8ekCgepxU3cLOnP1Fkbg7pVEvgQ9FU7UFmzwMd6CM6RT+zGY5ejlMY0CZe
3fdoXCwIsmaqVLSjMO66ko59loMBsnkt6Fbwpd/LafvEwSFqBmTE6PCARBCsvZ3IezNOpduUOWbA
mj40zo4pfTMAoJUWx3F4gqMaOnNhOsbUkezmhClQHNAar1/sGGKtt/yHrxexVVKnUxVmztwlClqV
hwX2Eqla4fAFHUdvCJv2gxAoR6x6bQ+LD/z3eiF/uh2mgwJ9+aiN6T90i71jUCnallnWPqPZy44u
5l1fmGwSbY4Uhe+F3Ovs2sKWxNQBEvVN2HB5SSgCn4r2beOKnoY42iPbIAkaAHhlw7Anx+j54NQY
/4oTX9Dyj607gvXCgAb+CgnieYsGRKfMJdXXTo1Dfziw0F4XI4CAHKR3+OEtzu3xFiRttLjuK5gl
pWxXV6EM84bJDCplicwxHUZ2l2D9Dv3WtaAq6Q/kb/UVQkTeOqjJop8w0IB85Nd4xFLrpOyqDdnf
vZMi/pYEe9U34YpaEdtO87IkJzWO5jrupD0oO4cvYsUZNggZYHOiHzXCu9nG6bjotX4VzvMH2JX4
UyRCQdTHoiuiafKEdzWCPoi28U5qC5g2CLXPhz2hwCjGdL/p3Sd/t0333RHpC2ZApG7+spoM+Hq0
4+6Bl/rW7JF9ZHZ8Cpq91HDz7pNf+DnqEpnlqN8N10Y3MOOmMN7xAuPsQY5EFdk+/J1WTnS+ckQq
ycDsPx3QgcMSdPWJNR1+3jCP9EggFK5R6E9dv+EDfBwwnipzAc6yamLdfuD6/tjoJI8eJgK2LuTq
edMTjG0ePKWcP8NIiqMA/Yx6BBGxySPYdDB3kN/hgIOIBTbfmeXVqjgiRUNAlO+eF+mk7fdlY9uT
3LA/jlMC9FhgMEB77wp2fZ7RUomx2SAzh/6fNtG+LFM6wS6WM3tkDVboZQifkDUc2hX3bx9v76SL
1T970Ldvc2aSf5DAZbfYkktrJcNZV6amcIvoajTWQtIVBoj4Z4BA9hHIKw5K0prgrsAROKFi4481
k8uGsoFTNPcthxUMzfAbHigmDzqxxwYHaeFsGi8HXLj+EcG/Pw9CZ2M++yi8Nn2LR1uiKOOCeELv
NfiOUon5kQnojYIPLrzCfcZu42Qsf9cwKzEmRCs/spXIE5idDBfITt9gDH1vxf5r9VmHbZybd0ZF
d26neAfLT0z7STB/flu2ELGODcPttBrodMwaM6apsAMdgJmlbLLWVSgo6ecUh1cVtU75I1jepKIj
TgZDdQTAO5y+5UDmZogOelzBZKy5rFdMokuAfhgr/h1wFGyJw56YZyReOBWmHQhcjGb2pzSgGaKM
ID0Gk6fPQxS6WxIgeV2wHr0A8giKHU5/CdHun7q4iU50WZpPVP7YO06eQgEyALWCtCcEzBFE7jjb
L38chRjyIOkK3yk0fYrAa5mL1ahyaGPARKjouarVG4x21yogxmtTLgGht9B2ulg0BeSjd05Rt0sT
WfKJ6ypN5r+StAtOMaonm88SOINR3V5RRt4SePsFOtfZkWM1rZDv9rego0+x0/th5mArabwnD5uZ
Bsz73v9yHWD/fE7XFIey1KvBiLRnD2FL+heEtNkr/T/MndmO3TrSZl+o1ZBEarrdk3LwPPvcCMcu
W/Msanr6Xtv1d1Umy+lEEWigb30OuJUUgyIjvlifJdc3FLD9b26YNfcg2airNfZ8VwzBth/TtFJH
0Wbhe7lRZdzE9GUkD10eBqTsL2mMKy8oaYaYTyl6F9r2Xyu3focEr3yxcuYCSzKKk1zCT/21k2Ms
+pyjZLgWH3v0Om+WefXAEylZfFr7nRqBFe6Im/Jr45HYoSmtDbSOZAZLtwW3Y1bGWb1kd16dk45M
wvCu8LxXXVLWJyXq8KZpt+aWXMZ83POuJiLW5c7pEM7QVEB+cwiC+piEm/0laQZUH0KIz5Yv3oVD
8jFau+VNNtBvGyTc4soB/FG9XFsG1uJtRp0wRw11I8OA+Imi7X4rOjKv1dq8KltE+M1Q3gqOs2+b
ICdvwCXqRbTVtLNweRIvuyBqb8j7fQ8R7kp7u09TCkah5d3R5EnRxg5TAC603H7Jhj64jFUdxZ6U
9UdHBWxcEzXp26Zo7pzWV/fkBNCESOhXueP2n6qSiQoBThy4JkPtGihUI4/3x+uWTvNZTyPGhX7C
4sa1cmQdrUK2Y/fdZSknEgCr2lzwZCl12Uza1Vu2aWT4lOTXM1+O9kJN0r5X7vyjGxxyPWPq3QCb
IrVXUYp8xb7lHdF/bXfoCSTV6XT9ME/p+ipskuUGksP+Dolldd7zhJRU5DTveg4X75Zpc89pVndf
t4oWzkOm1vl+relryKAv/6RpK/k0jyWcop1LKRnppC+J/L1/TXkp+tzk1Xbq8pasQdZap7Jxy7PX
eBm4HA9teha4b53cz1+JZiRRvme0+kaLmN6QG8i+05liKxoHGnkUJCKROzj+/eaP8gty7pX9bB/J
Gq7evQJxNBzpgajQbeXUEzwZfe+TSN5xUEm/kyTkDFFcU1F03L3NuYTXXASUB6HnyzUV9NlOUGUB
l7Knr3viu5/IbuRf0aftr8ltiHMaJdZ5hwD3I7Ok825bfSoHSVt9SIokO1MW4Hrf0Mwioi54j6cn
KD7Ve0c39LN3c0r5/NhJVd1NWVH+bB0xv2/4vFKY2RJoGb1HT0FX1eBCCnm2iiS5o4tUXPqRbw2X
58Z+U1Xb8pU0i/+SklV1DttQQb5b5PiaioF8Xysu4Fa7lZDWrG/FOIQXf+D7qarkLktpac+EN7xO
+9X522tm0oolMUOnNt1ekq55hEFDjcRmd2/HEnYH6Zn53b5TLqZBWQ2nqgm6yz6QyOggFx27yHV+
ukWY3KPQ6eirtRTNGVuisjc+hwN6g9fkrm6Jw2Xo6X5fuepzdSZbQDXKfbe04KCKKGrpPeHs1ST5
e76unHk87tJ8fsXNUAcBtbSsvB/Lav3oL9l+swGxOEqrmqhZc6w9cUYuP0dFt5GMtpLsyywDcm5R
VSykHchv7+hq2KJyq7wENnCM0fX3v5su9+Mwo3o3TrU4Rlw5j1FBfxrVne092bDpxvPouln2a+69
s9X4E3HNRnNe6r3fe2e/nbcrfs3doAS4eXTXlYtPToNKDKHa0wpQL6RPxoC8wuZbDgxPP2dZUsGu
11dzPr2td2dCGUeniIqS8IKajDNnmltxQ+nm/UhzBzdmGAu27F1uVaGzeFwqt/DnbvkeX4q9+Vhm
zAFN7/QZV35729Kr8moo1PBaJmN5l8Ft4wqPUJDGYRky5c4PNhzr5Zxs43T2q2s3u1dV7EH/C61Y
URRutV0yOI7OsQrbH17fJufVS6qv1bSllFCQDH/0K+ofHuqrN7SVF3+V0Ti/8gRFF/K0iGHL2arY
kYrm7f8Tufz/f6CQ761qpmF79yPN2+b/wph/ydkdEE9P6+Af0YL/9f//U/0eBf8bIi12c6GAyRV5
VyzZP9XvfojRNv8U2h7/laMi/+V/1O8igFmLHj7yMRQSuKn8GxDySzIPSzok3Y+vYxS5/40A/jGm
w7oyRmTASUHTvUcuUrWRJqfz5KGROKCe2j5nrr/iUPCvafiNrv2p4a///kDMXtCxvy1rE5z51g58
i/zdTj+kKxeSP4//mEL178fXAFxRvZfspIlP16g37m87B1Yrm2XhOQfcF2v3QIf2lFz+/GNP/TEa
ymTkHcGIo3C1Xk9lB3a6FJzf5ocY//1psh7DzP79x7AMHk5WECH/LiBVnhXnqJeOs0haB226vl9s
IRnS2KJmBGFj67t/Yn/g7KQ/2v/i7WiEuC5E2RFcf3CuomC9a2mjV4gDVJY/g596jJ/511+kE5TC
fKeFFTUyN74xWO78TQBl6crRzV54ZVa4Lx1VKiQ0Y99sZGMq6fQXu8nm4ebPM6rhr/79ABovjNr5
WHrj5p1VSo8gRNcwhpb3E0F/j/CmT5eZIuMWWC/aBX7LmbRkG3LlSEO3/q/IZf9+Ag28VaW0C1ce
Mv8ldL2jGOBaekv+zN/3xIq8ts08XDEtkcqlZPLO2zYGX+x2A0Mwq+L1n2fvqdG1vaEKwd6Ogool
rfr5Dxtw5YvGykv1DEXvqeGv//5gb4Dl7HV95nn00QTzJ2dB/7omXKfMHl7bGYZqKbrO7b0zl80d
Sc5qUYT1u7YNDB9f2w3cNXVCUtXsBlBpqHb4pDMPfU8oncz+Am07cCnxNKRlOFq0W+C/GfHMmj7V
02Q9s3c+Nf9a9I+hrexl9cJ4p5p+3lKJUmHNy3F4ZoKuy+Tf7Kl/rfxfVPAH7zdqS1kpTshxy0Wz
viyDQ324WjYnP3ExlZHhz2ghLmRLcrezKOhNyp1uGr9tECo1TgWbLZ+W1SzUpBbHfTv3iVjrkBJ8
uX9ATpO9bhBlfPjzu35qrrRAXmgxpl8C5YlL4f9cjUMgXqQShMPn0gtRcPz5V55441IL6IyiW8ml
OoyHSsJrqXf7dZQ6Q3UwG/76sw9eeJvkG6X93Y8VwlgyDcUqv/p7253NhhePh1dz0AaAafx4rngD
yL7qs1QWOQKz4bV4VtCEISUVCMzGueQdbOFqgWjaKMiY/YAWzyUkkJ7MR4iQpkYe0Tles5yHItiX
N2Y/oAU0SXgxOpSx4mjM8k9BOI5v1jztt2ee/7oWfxPPVzOgh6+3pnZGm0AaxDXFteRdUNe9+iT6
PbLvoKVFwVssFoR/a/S3XFtFH/4YnVECbJ4XxJ2QU440QKzRIYPzapvFs9DimZaP3ocVFMTlmHby
drxaMRwKJelM+/NfcH3S302XFtJbWqR2vbCe+mTrhlOR0lP+poaD5N+lU1KX5zV1t+ZLRS/eX6pJ
l+aZmXvqzCO0KKfYnAQtkvC4rcKqu8usMQk42ZcRx7pwWgo5oUgq9vmYUzuvL+W6p8HJl4to38/2
5Ktn/v4nNptfdM0Hu8FGeyFCDCuJ68BSJ5EvQRwGlXhmMf5ihv5uerXdwJshyPduH8XCRjF63p1k
hm6Y7Ht100Ui2F6nY93+7Cy51DcSOID3CuWe27x0gzAsvgCcIWnz5xf91B/qPl6qYVN4XbvkMu6C
ZKTDaI9+dOu69Gab9vVy+DASqoGuaSRLQTxY3UJ1yJEVRIww/YfZ02ubhnIGn56BVMZpt4ZfPT6l
r0bbqs32bFfbM3qRNoVlBWRYK24yR+WEFH5IYW/jM6vsiShzr//+YJWBCto8F5ZWPG1L4tIEOAz2
t7VziLjMzez20IBXAM+/+136vav30TV7La62f4ilqVhEgx/7IXh9ilbuSH8cxXnDz4Wr7R+73Mue
Ek9wJhHpnOkmS0+7TwbW6LW72iYBjNNuin7dqazQd7s3lNz8oSue2YOeCAn3+u8P3goWi0A9+DTE
hZujW6F54ASPyjVcVFroc+tpQ3Tue+xybzwAcPoMf/q5U+tTj65Fs+OTrF6rdI/TYJteqq1B+lj1
GU0KZhOvhXNGC04naF+MQd5Hty7qfDSOoYzNRteiWXSz10FO2+MpIUm6CPpQxtrJzZ79F9/5wWsN
G3cP54DXak3uFeCmaJghSWm2j16dHx8umsK2BntJxj3unbwis4r6b/bkfvnzzFwX9m++F44Wr03i
ZfvuWEu8WN4Prp3lfIGX1zXxtICE+/NvPLF2HC1kkS/MyGsSagkE7rtoaouzI9vS7DruaCE7NRyF
6GZdoKB6iHMiT52KrTHcbhwtZJ0JDVe4FypOx0re51UdvATEa/joWsTyoU5KesYmWjyLxDmiRkWT
k61ldjKbeC1oPZS0ECZJ83RX2UQ5pdMLlcAtMhtdC1mdDSJoHqheewO1IcN1o0Vt6eRzn87XRsRU
0SreeV+3aGueWfhPLEo4KY/CCrlyKcMwmc99BehNjDT69nA/zB7d1oJW0LnnJkU4M/PW18HlfIdq
PTF7rVff9oc7QtlRs7JG/38eXbq0W0JHMX10PVq9MFFh5sznaCFp7F5Hp9psOroWraU9d0lFr8F5
LaLsqMJSHXyffkmjJWlr0UpFOmxt12Z06f7oc0nVOU8NM1u2Fq3wDKswTxk82lWNthH5Ylb6q9nZ
wNZidZ1EkFRbOZ+9CUHJiuYIylUymX2irt6oD5dMnXVuQ4uDOkNtRO+U5T9UAarXbNa1OB2BJqAA
XhSM1Qx4svS+WvPoGg2OvfHjJ7cTbxBbZk3noLebE/3Hf48KjZnJk/+HS0g/RmvBSVidC3rwD36R
o0AcaOk1G12LU9gwFiVQ6PJBpJyXAMvFG3jZ1Z3Z6Fqcrkq68CsiFe/0ecEdQK7knSzAJ6PRmpGR
Fqo0kkW16tI53mTdUHNGZxF3izt9N3t+LVadHBBnu9Z8WZOxAvSLXyFV+u1sNroWrGqgiSulNTCe
IvEXBIC3oxRvzYZ2H69IXM9gp2zWFOeZhdOX+5WWBrNcoYy0OI1yWG5OE1BLX7LwpDLvQwtDwfCF
anHalGD4o1CpGAeN/Iic/EUAxsVssetWCpRvl26kYeLcVOs/8s357Hr1M4ZKv/9U81V+POEwnFM4
BdYGb9EZJwgbY+YfNgiSRlsv+qnH48/oxrJSDlMMVc3+Iif2AUwXd8fopIGN1+PhMVhy7SppVVy3
w35q1+BblneJ4bRrQZqEeR/M8HVjbxugYdTgm8byucrrUxOvhWjU+BJ4QT3FmMxGCLxSh37wpPts
FEehFqLu5E7DNOQsxwxohaiXL/QBGL5SLUZ3CdsVsJGKBw/hnhOuX6s+fGP23FqMSjA9S455ZWwV
4weptpeeHJ+xBHpqwrUIbRcIS+icMU1NLPA9RfKCnjuz/ACfhsfr0KHpMtgtevd8O3qNlvErGPjK
bGvRPQCtjHP60DInVda8bdP2ArnbbCe/uoc/PLrIbtnESgL/3O4zLojuvfTMvqCBFpjd5k30lHC3
82sakdo1BvJtVGaVV4fmhw+dV9MKsYSH7uqPO4DXIvhktPh++co8yDVUUTF0NPHhI5qV34Y1ehvu
vtk+FWjxqPoZ1vLiT/E2Fs6HfZvcuFBiPJk9uBaRoknWpgDCFY8WUgK3KaHBRF/MxtYisqzy0Qsc
2zp7Oadby/b/lpEw/LDpfoEs7B7YM5/kLPfXA04F1glM5WwWOFee6MOFAj07mKQ3W+fefw9eOCSL
bTQn+CQ9GjjDI0z22TbFCuY75NmRxsLe/2A2uBaTC/UuujKS8QyZ92apqO33AgSH2eBaWA5K2SUd
GOM5rLw3QnXfc5BlhrOixSV+VJvdg98+D7V44zH2qmbTsa+b+oPQdJYcM40VHeTuCui7YVrc9RI2
mtmsaNGZjbjNcJ5loXg7nFO7+Fj5mdkBy9dic42UXMqIyF8BVhZHWyZ+e3I5AeVmW4uvBWi3YMNM
rWaKU9n9bS3zZ4oPH83mRftkznTvAb9gXpQCO9sj6zxgQxaYnSN0pdaQzQH56JUHpyNDtfbdOtN5
ZfTkumljUQeAUEBzxTRfv6wQHNJ1ATTWbHAtQlU6oI1UM4ihrnqLvhh4WmZ2SNHVVYNnwXAV9Ri7
rucelxpchCOLn2bPrQXoRkVhDOsrtqvyv9Izc5cH3nuzobX4XEGZlKFrDfHmwKuo2gBocV2YyTCk
p8Vn6y14X6MViikh0WW2t8AM6Moze3QtQFXnjmXmYCEOBbKuDqMarHvAZNs7s+G18Fwswa4IMjZ2
5+0fIye4dQy/mQ2thefEh4dGeMBiJb7na9fd2nVttg51IdWchCV4K5ob97nPzvOSuierar4bPbfU
Pp/5jup8WMsxjrLuWEpQu2CE/jz0dSn/Z8lF6pKpxSIfPHfBQB/R7Ck6gvziZe939BIU4EqOf/6R
66L+3Y9oH1GvbNYGe/ohrnLxV5XJz1ZXfjAbWgvRFcVj5QfJQPzPkFLGAUIhJjKx2ehalGIXQhO7
cHlw6XyuZ4veeqv7ZDa2FqPZ2uM1bWdj7Lk5ngw0XW4SEmyVPWc//NSsa3EqszQNaTxnSa4W9H73
Q94b3sWlFqNV7vVcmBk62aK3k52/ToRvVIaSUotRbPuSuofGF4ukdmMrdKe3TrrkRkpflPmPj0Vu
MNvenLMSoets+Gb0sZCG6rRf6PyHZy5wDda0jtkQNzNId3sOLj0g0IPRctG1UNMgFagKppzt8X7e
3PvKW81iSGjhGWGvqYo+HeIgSWHE7Ns9vFmzupnUlU7wNuhBBm0Ww5p7I5z+xWBPhs+tReeQU53w
F6uPRz+EDkOLa9mbXeKEFpzJCtU37Yoh9pmZAxjChZbmOjTbD4UWmZMoegsuV0/dBvPkwS3fKisy
O4LqUiQbmMfWeHYfp7moi8NCouKsbMs3nBgtPIsiQpVWbMQN7Zwgt33/XZXbu9kb1aVItFb7CVq7
Pt6jwT06o3zFl9Ssei51GZKyGpxW1pbl0kbSLtlraRrDeSyay2c+pteF95vvnK43Qgts0/DZMPdp
tgTHhuRZnCSyN6wj6HKjrVSQ4yDCQesdy/44L139U0UBPcxGe4wuOIKOaEvMFOCLZduIEYVfHJgh
72I2uhauQYAloA2oNFaV7+KOjYhdcPs1fHYtYoE/O2Thmy4eJT3mwHzd8u9yW5vUcHwtZtd88IcF
E70YSAX0man+uFaO2TfP1T+nbrvUFvydeMBg7mYb7fGyVG12YzbvWshC7BAb0IDuSnbeP9ttkt5I
qEOl2cTogiPBPgkzk9eKH10/XgIVYlrrJZi3Gv6AdvqlGFe2TTcz82Jcboch/Jj1lWFuXpccBfDI
0RgPXRzI6X2ejm/pAn9vNO+60ihNNiyWqrSPgyb6q2kXOlXhaxhOinbu7UmZhxYo7hjftfCvgKLC
jSrr2WzJ6EKjybbWbcedOSZScRBA+nKwNis4m02MFqrDZlGjrxjdo9P3cKVGl81zKqZfmdDf7MG6
l3mfr8jrQhAqM8YLyYFqMW3PNmD6EtR8lJY3dbctcPYAkgs4PT6MOai/H2hxC/o31J3H4X0U1PC6
qEu2N0XZYAgNfJtkfLriW7Yc8ELvh49L71rqaG99U/7dAgztjzh65+7J8ci1n4NOreoKdaavGWDp
tN6q3gqL2A3WTN4mbQEs3rHJJnyxUPZuFwez8eAkgpUxF+hbO4CCKBvptnN3dcFcbt1P41yL5q/1
ai3xZpL4bX4bHXhgcQjkf46Hlb8Xq5YddqU9e+Gxwa++PPpbAEkhdVrw5D7WmTwyHejv3TCCc+r6
0K3ycdhju43C7bLU1SxB/cnUO8/BIklhg46QRwCzNUyGGczDMRxyEYDqywfnfqFPObqthDPJeGe2
l6Mnyvl2h+jyqqy4W8coQAuY5MmQ7O8rp2gDs1PIL8H5g+xmvUrllwrfeDwsW7I+AIJTvDfNlqe2
XwqZbBwkqy7O/PpHIsv3SZCbPbeu85qpxKwVzuaxp5J4BBCTeI5ZclAXecHFF5tDBil2IwziEysq
adR3WrM50VVeA4b0fknRLk5dvAXXsv/pF4PZoc/Wrh8F7a1zE9htrDbVvaIbLL9pxVSbbWW2tlFm
fm6rBvx4nA6lfCE5v6L8V9NXo7Wia7yGGkOTuZvbuIRY8mkIAYsPmKZOhtOu7ZR9k0+0iURtHJFU
PsARBEyfmnWaSV3kZRPCngSXGG9tl9Qn3ASgRvV4PhzN5kY71ThNjmeuYEX6ae2tkIQbSI+B5UEW
N/sBLVDhay+JlU1tTKHq59LJOw8aqNHDY2H3OFHQqWWY+y1o48yO0JFNI6S6o4gK96fJs0MIeDz+
7PU7QHS3i6v+atUbtBhCHMl2QC43+wEt5750TeXYa8oBwXbkQQVLcc7z3OyAICItZrtgSYodliLZ
iAmYjHL8Y2cttlHaDX/Sx5Oz2LRKe/DJ6aqtqjtfzDjz4unhm+n7xRXY8DBRMxZNipCpZRtuVHCX
NcL+izvtZpQKFpEWtMGKvUA9cl4llbXeYpSq4sCeAqNFLyBKPHp2V1Qqyq9fpyKv8cZd+vSgAIMZ
rho9ZgdnVSv35NjaGvEjQ23+Y69Vbab8pDvw8cN7LkhW8Dxd7Pl40N+WEW4IdrIs3jO1wyf66rg+
Pv4BeluTxK/CJgY5KoYPXZnP7TEJGnhiy9haH2g4e2VZEGxOnOLK6JhGXEYvmYWntdnb1/VhNAWD
Uyo4fy5bn4VHqy4AUNRZ01VG12ihC8R8G8iv2193JrBLyT08R/rOtn6bbLOtT5eI7bYaaK91QcQK
J4dZtxSLPBSlnM0OWCLUwtsf93poXH5gU8Cvs119xtnzu9G2F2qhXU1QESOFkXg3XE3DUvETiJ3p
g2uRnfY7dp/wbuPZlpfKhabvjkYpAIrCjxdubVl2ukAQiSc5Y1VlSUoNy/7ObFK0qJ4AfqXOMjdx
oobwrDIoXLWXG34qQy2olwA+T8MbjXMAjd/qYhHfB4vPjdGz60KxsZBNKxunjjlrvQrm/b7q07/M
hta+wSnuXRJvgyYeVze7c6ohPMAaWsw+YrpUDH5mjluPqGNRgrY6YNzR32WBajKzMNUFYzJaW+E3
dh0HXlMc+yi8KSWAe7Op0UJ0wIQ6TaK8iSOZLS9GbKAx4y7mt38e/TrKf97Rha4bu3qEgtzn+17t
sufIb49pdK5sp23PPre6xuyMpWvIQrwWQl+kbWwrMXWHzJvwfSotO2rNvsXBfwRtPvZzlLM2r+j+
yX6XOonhstdCFpLFFNoDz052zTvlA6n8XUGH/fMLuO6Gv3sBWsg2LEarRBV4doIheTdvVve+yTyz
biahy8iqvHGU7Y7VdQ8O33a18OIp90KzSde1ZB3ZBTupm4piOFmJtg/fWjLNzSbG107NapuaTeFm
g0IAhNOR5sP+615F7Ww4vnZuBkiTJPjpVvE+BN/IHb2sg+yz0TvVKWFytqlW0yFI02qbAIcf1fxj
Eb0ZekP42oc15/rWZMl12rswIeGIBWfte8psufval7V1C7XuAw+PqStpJweTF5Aqhl8oXVIW+Xuw
eXDBYwy0nO3U5OgRjriKFrNR8oVm/8df7xA8YMfJtopx18EMKLXtNy39fO/M3qwWrZufk+FaeuuU
Ouna3hWgL1+5buepZ57+Vy32N9uBLizzpXChJCuWjq+8+nWPK5q6ycu5Hy5cxJR7gXmHM1CPc1P7
wsIQan/RBUVff3UdIS/Kd/fbQFqbd8BUWEFXwHSgfF03HiB5fFG3HDRxluzf2mTL4ct3fHOPyivW
76KW8n7uiuluy7P5IhIFvXiHgYGbR53L/UPm0N/ytrxyKj6APu/GExc2vHPseljwNkf5+arAJ28/
8X+P+UsBIH82O0jqgjh0jdir05B8ThOneDVHZfTCzV3Q1kbv1NM2mhYvuStxuYzd1f7hu/3byEnf
mA2t7THcNQET+0uJGwg628qVt247PgfSuA7yu6WiHQyUsup0H9cyxn1GiNth3KvlFG2oHk54dkXp
rR/5VfbV7C/R9hynjzxfzl4ZW53ln7Geq7BartKPZqNre04GTJU7oijjucXl3EqAchf46vx58Ot8
/G6e3Mc7gmNj9lMOqox9aNDvUVXL1yGU2L9XeOXPZDaf+glt07GTKEjdri/P4yowEM+mHqOSwzyQ
bL/NFzranrlUP/XKte0HeUKqZr9K8S+ayvKivNVBHWZVZzynQxe7O8Oyk9BFdGlG7iTBry/2G9dC
6OZ/ZiMy/IDpIjoL4AiJgKaMHcpxuG5fJuE8s0E/8SZ0EV0g0HLu9OCeyrQPptsIj+9LG0bU/f10
rmwjdYGQWlx7jO3neWCB6QAkqApg7FGPp9+fF+wTR0KdOzZuEV5wG4ZVQeDh0Om3IfYYjuFlRWqR
POekIoVysjiXobx081afwig3u8dJLZBtv3OqKqiSkzPnd3YiDrL1DedcC+NN2BU2Pgy97/KcRP2l
zl2z+6GuodugruVjVCanMnfvA8+67/GWNnuXWsQiK7wCa7En7oqlvyvGcYoxO3xvNLguocN4Ops3
3ItPpZOOZ3w35GGLKnkxG127k9tROSSebeVxkI/dParXz326mcFhha6hS/0gtWZX5TEOaxVw6Km5
sfvKTIoqdBmdta3UU+ohj7EXwzgyCzEGHMaz2bxct54HFc+1sDFZF210mmqZrxfXXT52A9xsw2nX
4jNrI0xcZBOdGsy+y6qNi6E1+4jrUrotW9e0TjlIVRMmb41q7ONeec/svE/sWrqSbkadv9PhRxCN
eEKhGjtidGa4JepSuh1IzzjjUknXUr0dm7Rr+6v5WWQmSKM35PE7jeqNnovSi2i0ane8WatkuG/X
MjfrgxS6mk75TdIEvYiA2O/UbN+iAnhmg/klBPnN8UbX0kl/d4BTpVnsbJaY7+28xjAOleTm4GRE
+QBXgl1grjPX3tknu7Yc+wnbLnCcnY9Tq4psfJs6J3X/rgMPr54kFHlgloHXVXir1TtwN6brdWmY
0ttc2KE6ZyOGeCejWNRleE2eYyXnZMFpHTKfDWorFBZBnu8Is7uHrsMbplLtc9Kps2qz7lyHcjl1
kTTLNOvcL45s+N6KWp2dK/dr8Xo6tWVgpK8WrvYp7oJZAsJn8FnBbq5G2R/ayjXT+AlX+xrLTNEN
rxp1dgunO4rSKQ5kJL6ZvVXtOI39U2jbIpmwGshqjJItGrgwBjLbYF0t1lO0pra0xHRuUdYc2nJI
X1WBmD4ZPbuuwZNL1wksRiessKl6yHJPz/nmmU2MzvzKh8VpKcROZxiVmLrWa/nNx5vW7BikC/B2
HA/6SWHS2jR+dYRcDRFGJmbUE+bg8RZbRZPAJckbz3mwDhcvmeCLW6VhjV2nfQnM6vaqnMazWOoM
xdX0gfbq9Zk99olPm67BU0sPMivYxvMWOPuhtMvhGJSGZ5WrY8LD44RXKt/CBmk87zW4FuxnftpD
ZtZLKHQJHn6JdZ9UAhNiumdO0ZJlR/Zjw+K9rv3aaYNI8pmDVdC538ZavK8zDHvM4kiL0qwmpdzi
InPO7QG3c5ycz0mCjO7Poz9xTdTVX5VT9m7ZCnxjksqb32QYSdaXzXer4SKHjq/gn3/miYWjK8Ew
h0qkU/BHeG5onWbXS4/NivWt2eha4qrLkmCafEZP0yY/hcjAjlG7/cNscC1cy4LtAD3jcO5WTPvy
ui9OY52Yffh0JVjUSXuqPW84z6XCejALXczrot3sy6crwbZa4Dk+LMN5yvYKb6by4+4UnuEr1cIV
5xy5t+R6zl2YBce6WosjklQz2b/QhWBNsAVTECbd2aqtAfNI7IZEt5mRm1AbPd5qEimrwSn87pxP
fXbcvbo6hmDyzc5ithaxytlIOQ9peCmKZv+w2936qbCb57j1vw8llJPas4tlcRRi5bM3OPSjXA8c
nes8lyN8anTtrisdh3T1FkUXaZE6n63vbdV8MAkkN9KitHRcJ8E/I7jA+Uqqw7yjTpwyTObNhtfi
1Kla0eK/Hl28rm4Q4Barn73wnaoJjWLV1RVg3Rhivtp20SUanUMRuXeVbXYSc3XxFyCuHrc1hq4l
n7+rHqIxEyS6uvILM4g8yYI+uuxX9FG5OPIos3Ax2nldXfmFN2SG+3orT1C4bvDre2P7ZjRBVyd9
2R6iIlHX8uQjfyga64Vs8rdmS0ULUA+MUDaIRp7weK+dWHYVfdfZUquPRuPriq+mc/qiUhjSytZZ
QajLUd5dW/We4wleI+Y/b7qurufC26yT4ZL4l7qzxpspmef6Fd5jV1f3ug+S27TGB+zltCfPX67x
JnriR7XwDTY3aeair7i2rkuDz3yVV26HHyhRV12yZMU1Dutl7GoOjej5tq/Fhiv7bVt1flZfuFgX
eGviHTxvt1myWcnfQizI7hobSWuJ2/22L8uBQ07Xvyh9J+xezmOyOP7tasmgx8tyr1IrP9giygVm
6FPQcRBqfV7dwYsw0vy7G7IaO1FZBnl9K/YS3PNp40IfpKetn5fhWG6iWN+DkFtmXIlLLH7AfG85
lqQHJ1KWLw/RBhq+vHG60gd9j1s3X+cDfQWV4gHHoG0+dm7NRaYIivBn3dX886B6OZ985L7ioJih
8jjPi5vj9KtWXJdKW4zN3y1J20Ad1sGxneXghX6afW1yWUbf61Rh9EMj597ieg/tq9i+XEV6N91e
457XAI3CqnTJR6c8BTROJuedko17ttxkHfHJZKVFx9lfNq8+ufPu2fdOOPv42WJnX9MX1rfbDS4B
zTHwu9l/WdgqD092LhbsKQO/5xQW1uEprAHgHtY+9fsG/WbRZjigRtz3gyMZEsylebK+GQKcb/2A
vpE5jxMZcGxkL/FrdcfbanF6HkJOdofIwU/7pOrG/aufav+0YNYbfFf5volLN7Re+WofMEj8lOF0
F7wSUyJwY0+yUKWnaqdHRV4ibGEhIux+oKqXdGiEvK8uzzseLrX3KFUXG6oxp7HabvfyZvPFunzr
wzpv02M7kwy+xRMwjD44awCM8Fg1EiexNLSuGMgKT9fFootlR7QFQSdQszpvvMu2vXU9EmnurV82
YXYofWyB/TJrjq2/LvVANmWzRqzVW4z+7m01Yuw6sEe98ttUFR/W1U0bnD1V62KfLLxxPbZpJl0o
sdlWnbjXZOHXcBJNex+tOxe/zLPVOvwfzr5tuW4cy/JXOvK5WQ2CBAh0dHXEkDx33WVLtl8YtiTz
ToIASBD8+lknu2Z60jNZNVGR+SJL58YDgHuvvS6pUxZgfioFSygqKGsReJohBS5qHsNWaL6HwUq7
XgbqQqDaxMJbbcOY2S4ltFvEG27B5OQwWSPd/IMi5c/v9ZLE6jlhfSjyqjCs+YHeR3TYNH08Lsh3
ZaO5a2dS8k+gZ039vvEJZEIIwRzZeWMBbW/CyrXbez104xznsQ7G+G7Cpq12g6o8Pak+bKbXKugF
oTje2pKzNOljqe6ItW34I0aWpfBpUcq+PDi3LOyMaOF4/NI47lkGz3sCNXrpIkTkTiPj3VthXdki
unBqxQ8W8Um9Ql2+VRmmS7h3Qecx+luw+ozAg8cgfhsbvWynnirvP7UbCcNMVdhJb02MZX4sW7rd
WYlIdoK41eZe6DnhOyJqVT1NbbVuDw4CDxpgEg3fAJFfnYj5yTg7DD9bTG6qS8OnyB/GsemKw4Sb
k77Mk0woAuejmH4VnMbyPXRtcQcJeXDGGGl7g7SlT5FuWuYlDIKCfK034c7IkFi2I8yDoi+drGOZ
qw5Kx8fEV91wF5ZFHZ7cWM9+F0xVsx6l14QfEr625JXwoi2eqkmWSNr1NoAnYkOkgYim52Y5L5th
+taQzZJTpLjqPiO4oxjvZyaTak+qdkxyuzYLzk7HhK724E+H+naSC3/r4AkwZAUgQ3dfrUTjKKnG
1e0QBm51mRNMq5ZL28DgeF+Us4K8JkiW8lMljIxPvVKKp7YINP9RVcjizMrBtLZBhnVYEAQdxYix
Rj6uQTqyoyTIrRlomA7d5tTXyEq8g5yRMoSd4Yp3UQel0WmzBmbYDVdLnhSGdlt7NzkI03ZMafeN
Eu844tXKAb6ciILgtyiXyo8CWzjJkCVM+4wjCHh89VPEGAyO+h6WZ2nUbhvyWi1Usp888ul0gWBO
m6w47zflxjFtLG7TDlmo7WLe2hBZ0k9LtckLcjg07gotLGvkU4enun6bys56h8RFjDt3g6M9SyEA
Hdihk6Fsd8tSRp1Py9CK7eJWUwK6WJFlJY+k8CgUIWerqpNB1FqQbrqug2fOWk3zKuZzkBuyhDJH
lvPWvGiyRc1xsZuTh7kfgyKfHC38TYTEnAcSmqZ+BnxEfZvWXWflHtbxpT3LFm3MnQcuJvZxW+Om
Z4uCTSB7x9V6g2j6ps3GTYc2i5VOAogXtEFIMCR0mwmfLGl7KDKG2NqHeiUJPY6YGzd3I+zu6ild
fIwUHZiLpxOy5cNTGElj75mZguE7rVfR3fAuMlhoQ9V31XvUiQ3LoYdvm9mNpaiXPT7Z2uxY38bm
M2+Xqjibsm6iE5S0vLudNUXK1w5nUsdzhDNFxccGv2QYm5uqYUcz1mUJgjNkWFgoAmZK5wrB6uqo
mj4CcZiCSEx2RiH6MF2sH+jzEEhxXvpOvgjaAvCFTTorPsVh1QU/QbV/vpJej7BSoX5vvU6eQf9c
f45mIi4PA9wAs6UZ2p8K4pqXHjIMduQ4nsN0kVPrj6EbXlsdNznskOsndDXwSNpIgEDCTm99ksmV
Yun3BIENd4taF4Qvo1h7aCnGhvvSBjR3TZ1TuHo+8mRY3G23UR/ndd0Y9tzLSQR7RCarrFpHmiJN
gmAZ9K7LyMw28003FG2ZaGCkkln0greNhe7zoYrhppiD5lRcHP7hdiu7Mq9ROwFboG205k2s/ZdW
69JmPaRt/gaWgNH3Sus1jRt+W/UtOS3GBNEBOlsVnSYwsI4yEfHzFvYwg6kkdv0nEmIvppIGC9ZD
h6Rjivs+kU095Dh1zHS3BbPYLUIO2UyKG9UE/Wd49i73yYwjPmddH+X1NL5tpJpS3xf1N2SrNDex
83A7dwYjkWPLtY9Rcdh19DnRLLKvU1hCPopCa2OwL7RwHIRXX4t1kI4uiD9RZMXQvHYqHN7EEuG8
D6Ddu6jGgLLegDRcXmRk1+Un+DW2TiWmrFtOArqwi0jstr4nQ+/25WJBXU4rGPTfi8lyZKCvQaUe
qw6H4bdo7ItUm0BFVda3foajSlHG3Zi2OlHleaOh1Tk4R3Y+OMP7W9ejGPw52OQhslsf5kMTlj0u
VQVJfSeDqXigShXrHsTIYXgCZ802zzBP4DcVqYvl0E/e+7sE7g0q1ysG86cYVjlL2s/U0TRap6n6
Mg+6JN/qKlrum4hOD0rrrUodLNjNgiHEtvK3Mayn8NkikDH4EmEUFrzGHCcpbJusRQYyPgBnPktq
vdCsVEigPVf1prNpmhPg3XyeiyzZ2LIXdm6aA5qTTd06cGIeJG62iU4X14NqVbI7Kvsh8wkSE3UB
Wh7O7zkNmrkA/biaM6q3ZLdyWZ98X2eFG772iC9Lk7V2JwceXTMOr2Dj+cxHY5zRKm45zE0c4hI0
4qRx+4KgCwHjBCZts8/LLlao7I1C7uAiw5t6sIHPK12RI3Pg3/oCQ9F44HYXQvebdZ2e0jpiMI7Q
fPiMqvcbb9n9HNo9jkNs0RgZ02nV0xX1J/9S1vJ2iWQ2TiF2RniN9G67Zci2psH0KCDxc9i76YSM
sVanYdNFhzZWMpshcX0wpBPnoEkGnZFyvEOfYZcD7RLGF3xnpJ/uVDVVkK+HsILdK9l0423UK4cY
5RUOCxfJyyhvxsmuexbW8XIfDkTD0BmDe/kpFoOr9kuH6KWHiVbRF2EQG5SbuAC2JOrA8js/qCLZ
E904eo+BZjQ8Gcu3exZ3XXhQ3TgGa2qu8MUQ48SF4gIcSHFYQoXeZBtKeSlwZKo1E3FcPngwq4IM
ief98mQ2N0FwD101dRlsMos2S2RYq/vWAMPExSu7aRd56La7PSSQ4U4U0TDkmhRUZWFddeFtPKtr
UjA31+JagLpblZkUC6N5P08knPEk0IwPvU12jehgzZVuPaSxnxQUlNFLafh4o4cZZX1WlU2QhQ2s
B7F0xbqkieM4JOgMb41jyZ1CUZmsBL1gaTHJhU+AdshYiuLAnmq8GfI4j9iYGWV8yltfzcOhXXE/
+cqIdsueIv88RAaOhrleGNeRyH3SVW8SOeWpicJtP4t5/TIMRUXR8rCiMXcz2Ho48TRK+voc1cph
9l/4e+Gvwbub3qKLEaIlO4HkpBXlG0rdXG8wJnpx3RKUp5YPzH5Canu4PA16DjPM5ib6zXeFWzK2
1kGu2uqzXOc5XVTw4VuouEZMelK9NtWxsgrGLjF0/Sj2omzbrFRpgoZ8Au23fbaa0CNtqTus4yx3
rk+iSwt16WuHgipbffOjhJH1fQhI66EKKS8RU2CfmVvO44g7w1m40r+HqglfpoGJ6kjrCvKCrTGb
vJ0Cqh+Ig/8w7O/ZLZxDZ6TIe7iozGQ7oGyZXkpATvphCRQI5nZNsjkA5aII2IsQg0n9KG4xhoTH
ADJ3I50aUl5wxC0nrwX9jNO93LW04W3a96sF9wZhJ5S5ICsdEiDyFlsH12d2ODOK+ljPSbnDwkBg
GC/9eePiXYjSPsY0js+ctFhwUaezmvDHjun+c7h1673gqnksiTIgUs1d207pSmrpTFqif/N7j/BF
f+QLLV94iJR223gh82aYeNZv87buB92wswchN/7sApE8l52LEDRA7ZAEx6JPFtelBfaKgPGDr8h7
bQtvPzPGuU+Xul8FyMnh4nxeXx0uTp1fNxgBCR16hazoaTJYZWsdjU1e8iUMzksYw18AQmlHzroK
C3lngtXY/QLnCvKy8Y7yTPp4sZc5Vqz8hl6snxCaQQN6VLWq45tmXTrEF5fDgqM1VFq8RHOnyP0U
zZHawXjEDzDZMLw6jcEiu68BdiZC2JivWZ0T01Q2nVmN5kraOakz3aHqdmkRBVHUpZ75uX5bBYum
m2Udl+0HYtYcCvzKCoa7d4eNzFTaQALX7OALVdCDFl3dPK4h0KzdOMRRv7cJDr4cPXqZnKYroXQ3
JT2N7iETa9gFjPAozEO5MnkKIQRcf9a4i/b3s7FCkczLcqnOZjIR4SkscgTqv+2adv8IsCehwHVA
Qt4uxnQGJ1E1JKihVI+t/9wCfnFfW9bKU4ykd0A+vUu+hiZqg289KAMAftaRIUMUY5Uqw+pA5Z8W
89IiAUbPa770pRavHC4V9kW4iogvxkySNjlLpgDFSjGwYHnmbmvWMg0oTSJUOYXuM1lEHb0zm1j9
zxgGFt27rqHP3IkGQZxPvqtWCQsNNuoHpJazdt0NC/yKD7IO6PjAsT9xBpNIXwsExCMlgL+rAUL9
YxORyh2jtmpJn8ebXvWYdpzzEsEGIzpqtC/NlHkUqSisUfdY99hYlIjuINuy1S+dCcZlPzaBlSdj
5MzwjW3S6Xyi3bp8ayWDuo5XrTTfrGunZa9K0geZbOfwUk9lwbMJ1A5745smLvGVJDXkrQZzo0yr
ZUKHNXEYJL3MG5JHIPmfipuxpNPBFat4miLqrUkt2zZ177uuSzXSblPIHMs5QmKeaMa9dwLlS4mA
4Pm0RQaQQyXnJDXWoX5O7WydeUxCl1Q/F4T1iN3WElLl3MHOa0xLg9SUY4HG8aaG2RxWXRT20blo
kDh8UaUfXyWOT51H1sZhl5IaJJ4X021NgJbLk+CwbljXh4SyMDlb3G+a785F9QFNbSi/jijvkypj
siT1E+LVKpRBTdjzek6xyFiUCZzTHvhEACnollRhfScaR7ZMY8N/bkPW77qi5gO2WjGfRwJM7hYI
XMQexLDy9uwWLX8AW/yC1BdLOUKCOEQNI1KP6NNAy+IbHFrQZZQ9jsm60e2ttURC9QDLHHfqElFl
avOI0IFQiRzrREfd7WQj093qYjaXWamx+Y7Ic/sRTK0x+ToH+BrjNXlp52tL0bZieOrW2L1wVDQ2
L7cJjSeYenZNO5f0e8jvJU8b5UoUJxi+L4hvFCsmEDgJDRBL29w56KaQKSqu2CWsDPRL67YkpQya
ihOGQ9LcRJOYgocoAS0VNLdkKJfTwsvSdvhSZk8MPAqKpt6tJBLNtWzg9WM51ZLvQuixpp8rOp8l
Cypgsd/gPoJ8Z82EiXcD+j6KpVnTZ12juT74oTEpbXCAqnSZNXIZSzpXb4L1hr5Ebq6WzPcmROue
xN2yps0iuuBrXYfFD3Etho5ihW/CZ8/Vh207G58IUI6wzKY+buejRMqNyCTX/cfIsGVTgRCaDEE3
JN51Mha/w9lttOEieLGDY2sRoy8XJNqvNHHJF1UGEor6WhbAugPZw+vLKJhu5KiAendmfBzfum6F
kSGwuKoZXuA9KBsU3ZWLjo2N/TvAoHK76I4WH33VbZIh0d4v9KavXDx9DgrC2UeIEBj2DrCkAtbX
lOxGjrrF2UEqn9EynNyDlkWioFTCtDQueUke6oBzzGdQ1JALc7DI3ctFc5qvdiPRbuEL+pCun9dn
uHyH8avScnkMgti8iiIJP4PNZLfDWEDWdgxGQD1r16/LjscCFtVbs6hXXPP2MoQtiJq8QaQ8XHvi
8TRWUk4ZU+jZUhUU7Rdoz9d0YpAjKhU7ftGrCh4S7tZbLrdK7McCZiK7jvn1MCEo5RCqjpxipIzj
zBsi81KhgfH3qhyhh18WOFilbEK3+uxmmBZ/gyUOkAbjXVx9wbADTkN88bgO1DUNjgUZhdGIGgTN
ENBQ+7laOSrSCOAYiquaNCyA4TFiJXINYQfbMVECCXQzHZG8k+itPlBF1AsCBZr2iYoRtgYrMkWe
aryRNKqvpXmGY9tbl2qgvdE9CsEkziKFt/N5HAs37pupaKqMxolyP67s7dM4dH1/WZNk6/AabWCe
0Cq77j4qE3dBZVlHeyFUMB5BCk7cI4Yrww7HxDDsNWONyWm1dCEIoIg63o2O4BCB48sZ3wUAtkKx
UQE7cqDhL97bJxNUzZINbA67cxAs/XaAod72HjAEgaUdwk4v5Tau2D6FwOVoHdm1Mp7RYVp3jsYQ
JWxVDxevKvYEPv4EzQscS4HcwXokipPiS7BBILEX0Hz5z0BO1wU3IkPCdyt0SROkOrUbsC7TzWo4
DZi51d+qbTJ9hm8KFg6irdAG4MTslj6rpkLBkR92XPIWpn8CSI3jaj6tYzyJQ4JUe4T9FgsXdRow
GHnunYyumzBolrJE5z6hb8Ph0+bNZqQ7WciMZErH1XbYxpjgfsy4dxYnpS0p8wUe8QTc4p7G4csY
o0LLFyd1lSXxwqFes9y3LzWH8VJOgGfUXzqgc3HaD3NVfSbrhtOjDAIennkS9izrJe1oPgLfXbJx
WADWphX3a5k3kMuS+1hNWjwi4qZeUg9fc7WbfcHQCtMtRgUjVWjfAo2ckJRBvCQfkc60JIfKK5e8
cXwo92pQoPIbZsIuyeIuaelDVzoCG3CFNqOqTd8/eVhStHvaGNL7lME+YgEkXw1bmcadhWEMFvWK
onD0STEhKl6a4rYaSb2dwpisw61UmDykXEUOCQCq0h+ERXV1R7diANOuIO1wRBRDQB+gBE449pSO
NoeJ5uDVHomkTu/B3VR9hjkhm38MrjcBIj83K05BB2zwC+n66zfE0VLloZaqQVOPRq+/m4GItxkU
Q9bMKdyFQnohnDK0s8wGw7EGc2j54aiXJi84L+zB4bx2uWZKtbsuisSUU2Qs2TaddO+rPTqMDq1y
DENB0Im7a+Ad8v/GvKlquZ4LSxKRQflUSpbDW4RgQ9VFD4YGhvtjeebLGm2oWayKj36IR/BPJtR2
KSYLYZtCAr01+YRl0O3jdQ6nj6RmbRegdwhjGyHBGbY8P1Xbd1Aotpj5WtxMe9SJcRZ0Wh44VdSv
pzYUkXiZNbKJbhwAhlXhg9dxE6MGWaPxniV1t74G+DQySCugIOO8v/qzo/FdxLbEd/O1Z78Uwdiu
KL7AAN/Sxhdlee/70KBZ0XPEscHjFgBskmF6yJxNienl8FZ79PNgq/qkJx/aLsGEYiBhaJhGC7Xu
gvylUZ+NHGdxz3B4lCgVRbO9txXma9+axo3tPi7jIQBANKloQLo41/VjjHIfexm8kpjtFUqj6aNS
MXMitaGE/7hL4ll8CgE21wg0wkTL/pAwKG5fVDCPwcNYYoT5uMhmMvDg8KKjWbJMcOqGEFTp7lT1
mORikcQq2usEjQ/fIRl0ni7QtJbMZRumomMP30Gd1ElOGLfi4hRmozeorgW/QVkUm+eha1p9TsrI
jadg7sr+W0QIcCt+rdn289gHc9ol1AU3I4Hf2mMwm7nGGYdMr0yiMh52fu6FvquNhXSrZyRZPm0d
SLqZIAZjyzrqBpgm6TKwb4IbVXyKAJpmdEBiR7Ns52BDID1KVjh1dienysijnkJoexYmq52Pfhxk
dNSYG7lD1/KNvISVZexct5htZ4r0oLTsoJAnGqDHgNEVBlpmZcF+0pTOWcT7Jkix5265MleMdmAw
fNmTEGKBaV8HISaYfMDQ0qcdQgNF6qdVsVxXCYuPdp3ldlTxGpABJoXUzTJtoxLpf0AlwuaGhdqY
F2aQE/CRlPHc36CwrZN9x6pZPjuHYWPelcC9obcFxfKhHoaOX4qyG9pnJ3BhLp6K1pzJjJAoIHjQ
XBxa4zf20MxJX57XRsv2Mxo9wKuA0lEtT4DaRI8ZTAzXwZpkMzazCjK42XCvcky2EyH3LQiuV1Pu
5Cs8OYkJMylh6drvegw3zXxCAaZxYW3SKP2A+/SAKQroZRgOo3aT/jnCZYdcULKq3T5jHgjEd8FO
3sttS27QRPPgQoMC0HrKCfwY6XUwLeiBNJyrQ9skE7vZuhFeAiH1o/3q6lkC025nmOHsbalWX6Wh
w3ACU3sKGiGZjFhg+6h7861fYkEfRhiJGLq/mheHwDRWtgiAC5tcmkz2zrW57/U1I9Eafsd0EQ+n
GNp0d5wGNUd5uXg13FAD56V0LVoSnuJNsegmMGEY7DFvt3XeiVKi4VSTUaiNor6Ovq9JM8eXYiub
9QmTlthihFQVenuPBhaVP1Q7ku5EIsh2T6R2frqFA4a2nzrYq6OqGVi83oRxYPxPP7FG3dTL3Ce7
bWYCoKBEIZJieD1jTlgbA+LqZOPbmfTGZdYjBPek8RaafN4obTPoPDj4H3F8pYovYi/B0r/rFqRc
fyauLc2ttls4nBNEOG7X7zkpoNuR1i9ZbZK4+QE0MQAky0SgDGBzdDKZGbDO+x1q6ha3Rhyh1wbf
aeXuZaCXKPNBEGpsEzFpSH8Uu147qYBfoYbQTN6bZOkCWGfUSf0+X++M78kMABq+CKw8TaP0IQYq
KKeeI62pnVFrY6Sl07mLYU7iImSeJZgRkDyiLABTLCqn4o5WiXV7nJ+w9Vy6oV4+bLOq9Wbckp69
6nXmMbqWqZnPHiD9+iqSXi33VzvS6Gj6uUh7+DZNKcrQcs2HCEMr3Gwxi38Q3svkbCqIZu4w7uvh
3YCieAOmNbWAqxgyWGNmv89zMIkUGjnqgPOrFkienqonMH5ClEIL8sWfGpB0cUNEXAxsSOUiCvmS
KCIhmhgIRrOAfgs9jTatIV2N01GAEhNloHHo+QMIUgmcGEgNsd8BU2x1kHKLurVJGY5Xu6VlN0K4
lCJvAQ3nfoXSGTlXwxrz6ivMAjCtSWeHPKbp0C+W1U3mJljhowAlfGVhrqMKrKT8X422cJoOmDhg
3hrZjIDcBmBT2KnI4PkdfY7w6OCyuKpUJ1n9jjCj714xjRhggXo/UqN3gAm2GXqBoAhO/1rMK1m9
ibsjPOfXNSe8Ged08xW7x9h1mHNewMfgnyPj/WqSxX089ONguh2RX5r4E1/2/xyd7RedH+uiZUXR
3e2i+kkArajZP6cGo786Y40wHpVFnSR73B8J0CO5kFuDY9r8Azn6n3iv0V8jFIGBUQtyJWYiAbbf
VI21vfQuGGHnaUA0A0K9NEi4SOREH1YDzBadVROQDIMSfE9///L9GXGO/pGwW66AvetAJ/sRwbxd
XkOfdQse7JShUMMQHQNw8Q9MM/6MF/gLrVlPBksNItA9vC2m5Nn6sZhzVaLAhRGCuRrtwsmkQzm6
+uEfXOE/4Qv/arTVgOqI2whley4QL2PhoLSbADL/gw/0J8/+q9GWQjilSSrJQILqf7Q6fHFCFf9A
+fBnz/0L0xn1+dSrsmB7TJ7RKWh/qucu+ief/BeypA1DO4wzZ3uAzztwkDHxCAE5/v0F9Wfv/Bem
c7FirMhkzfclCQxu5kuRhhVu+//cs/+y22mrIhDdcF3o1sNm2koEpm7j899/8j9Zob+6bHGN2ala
GyyXKpH03QBMchnhniIiS9BepWqGsOAIvR5T/1TSJDD1P26/SpQugf0Q2yPZl73GkzZ3TQhc9e9/
oN91Vf8PLu6vfltJ4yPgQWW874WsAD3LwTtMVfDfhw8tf4lRcuNfhjgc+KFWzadmqz+FWGnsWJh6
rtCklNUOQaPv6xJViqY2QS32X+/u397Wfy8/xof/eh/mP/8DP7+NCl1+WdlffvzPT2OP///j+pj/
/Td/fMR/Hj7Gu+/9h/n1j/7wGDzv3143/26//+GHHQpy6x/nD+2fPszc2d+fH+/w+pf/v7/8l4/f
n+WTVx9//e37ew/mCLodXb/Z3/72q9P7X3+j4dXR4t/+zxf422+vn+Cvv/0PY773//cDPr4b+9ff
JP8LCaE9BoQac57IqxuY+7j+Rsi/JEziuTlSfmL6+28GhPdWeMXkL5InLJQJx4PRP2PbmXH+/Vfx
X0LoAaTg6GNZlIThb//rjf3hu/nv7+pfhrl/GEFMMH/9jf8uRvvvtSRiSYjEK4Xy2szitX7ZgmOF
QqfC1PtYVBvoaQQ0lHA3h0XUwBV9hrBXjFv3IEDsr9CORGLIltLbJC1sg/q0ssliMJgmic630Yb7
QZCNgRPH5vEIN/eiPow+Do5C6mVHwzC+LlQM8IIhqc8xA0E2LZHRlMVyqU98wNCLDeYhrgf6COoA
vyupx+yTBsPNSsHoMGWx3s40fhaxMhmuoD8QFep8HKm9hYX8HkUzyEcwX2Q8Oid9nyVqnnPokja4
Mi2IOrU40yF6GPeJb7cciDndRSjawMCQt0UZhHdLYMoD2KDfhrCu0eZ1Im/QoGcbMXI/suhdScoy
Bw7f0Lfi0KoaoIBhWzqvhT81arSPm5Tu3NakepcTX7IOQdnnIbTfYW8vjiQhet/MCrdJkBNvRc0/
iiUJ7+y0vm9Aj/ao4TqwpII7PiXp2Gw/5FSdAnA1bF+8rlN0gVPBTZw0ufXzuY9DJJ+ToQJ8EbzF
o3D7Yo3eu+6aAzKChQK8e+78mFEXfSpltYBh3mw71sIcoy/BSpzC5rWrYE9tk+QLb8hNo0M0bQns
YsFir+d12slyAmt7DpZLeJ2t0ik89/3oD76OD2vAa3QL9qHVChyPbTX9Li57eoQd9Q8Prknea04e
t4jTez8jobADTPINkw6gemA6lW+04CBKNiueYY6CwxC6+E3rOTh08yTu+75MLtHK/U8tLaY6YEhM
KbrM7dIqjNJ01d6TUNU/Y+1GUO4xxA7LAFQTg+kJqzv7rpBrAFvp4Amlw7mFUXAWliHEA1ugo3ta
uOLoO/EA9qrMHd+eRDU+Aug6BDjHH7YejCG2dDUwI2QTp6Qt6INcximvmX/rYOC1F0H3rY/m5dYk
/BTQbiPpgnTApyTB+DJRU3NZCeakExd7GIG73XCF42Dn6S+2Te4xD2NPtjQmvEkSTGLRAwzhlA+Q
0UQZpjn9vIef3VwDbUPo+i6RHTJFmgUfNu8UbFLThs/SZXzGlGQXb0VPDm0N/kIWBA190kKAztQg
G3LJAVMNbd4BhAHysEwE0wuCPmdnEuFLeLtUNc+ScCySvAANBNrGBjyKFIlBFWQBpV7KmyCue3uc
ge7arKKtAVjTYnbwGrQNCKbYzwI0txa5fF0KOpzI6CKG5Q6Qm/VH5C5ofymmqnN7sbIOXJlBa/EM
G182nlrWBSNQxnqTeN0GBRgxwDyzkgYNkuWL4neY43+yd2a7jSPrmn2VfgEmOEaQl01qtiRbttNp
5w3hIc15JoPD05+l2rX3qcw6+1QX0Gh0A31TqEJWWhZFMSK+Yf3Yo2vM9qoIIoU5vY3RTUyOh80o
1r2pJzFDrjW3+6hMFRdBZTDVaEWOu4r9EorWdx1y2bdy5Bvj9Wl41+Kdz6s0JLHmo2zH1S40x1zn
TKcRLRPpdPVlqpwZpuRzuFgYG36r7PXAr/E1S3W+IXgCPlNZye6nZfHQpVH/Ywwb2klJPI6Ie2li
ZHeiSot0swx26a6LXnXROc5KPn0bD2Ibqcns12aYtcQthbtYqznS6nRbDLE09qJp+/y9aUmwbDxJ
Vj0wCzfsfFsZy2vpkYVopiG+98pFZ0yF4AWHOlv1RqF4ozWZ0z307dbxGyxE5P6DIAPwPRMJzq5n
968jW0bbx+xvTgNnhdKnd5rui0ksr65DziXucPlF95j28jHup2e3TKdVVzbzi+uMzYbGS36xUorZ
QxKxOSzL/sGWssLT6twXfPWWIfK9vXw39OVjFENIPGson3CqIDmUK61LiRe25EYEP7flgK0bDp2W
aVTFsW/Bxm49LeSKMgiPuHXEKcrPXa25ndvcWGvxFA7biDYDLgXJuHFtos+NNzy1nxSlBY54RK8f
0kLm1j25bRVucildfOVO3HRmSTpixjeZ7p08QSbM7QbdQM+z+CGXRvyhiRwBfUwKSppuayePIHJ7
9T2qlr49LPQ8lk2skk4Q9EUQSwjpZuP0NsVp6PqCexkPKBIePma9bIywS/HUOnXX93Nya2tlFChr
mk6uNVyYZ8UwlFikFxdBboPdX37VFl0eSQ1PL2ih9aWG1grTjJLkI6S5+TKT4MjvlFdVbyXpc2be
LOM+VIXU/BFKy6sg43/ROq/1pdl7t1NfkKTrjdR9i0x3+JYnGWietnQSQfd3IFkX9pb76eZLc6zn
YfwMYzUOQeJVMn/stAapT2okrExLxPFakgzIPxNXtFGQarF+zpQS91VliG+cc9MtargpN+jjIj8a
ZTPxVKDFoZVe+1hFTQ2tnZD7D1O61aeS2vg8NuZQrxo79lbCKYiLGGmPHZtMS3PLsdk6RWRCilNO
A+1RS62mOJb15BLaNSpbQGPTVLr29Nh9llVEPSjtvGmb1mFlHoSR2R8VCtlFZKb7qONSHpklkRg3
zJ2VXynkOt+X4RrGmHmq+rKYo2ehNP1iTgYjAPM5n070qNTKNaXYhXhza1LBxk0cmf1e2Tj9fmRH
5coZRioHEo8h27htWzTBos22iXG+dF+JZmjnsGwL4DNR1wy+iPKlPRVacpVloqIkScYA4xmz9bcE
8zLTd8v76oCwBnNysazOubSpyp+LLuKmq6LIUutCqdBamfi86cErsa32bjj04R45TGt3uq2z/jWR
K8oLcUdtvmWiXGxeNPzc2Z+qtFcbjbikS7pQIjzXMW99NY55ROpNy0bLT1wjGxkW4jkRYVdNzIEq
R3UxzDCJDnZN6+uIGb2gSSJfucTNq3uvmlBjyarMw33YJE79FOIiToUDZDTHGaMoqq/LjK88tQQv
oGenTpk03C3hce8xnApxQRwfo6AIee6LqUl2mr1YO89xp1UNdXLHelbcwpoodq7sCJHacUx/TlX5
SiMaeOxCm5EjJeOMbhJyVE1Q5009ckOolnQYPTN/mkHYDpZ+xltPwAmH9zpfePIvSbjuhc4U37xW
z66BB1OkSfQ17Zo+yHBBmGNZi+jRdqI4oiHA6rBo1bRfZrepj21VuWAmbaKjOzFx5iM92xO3wSO3
+zvTzPVbt5PMk9Zi66s99hMTDxNtDGl5ZTyWC7JdzCxK02KvkWH9OsNv42NGNY3W3jwMD5OVjvXe
mN3sEJtL9MEyx8MybEdnIg0dW9GO2YPh2uD88VobhXcz23p+t9jVXSONacuRz/DJ2JJmKhfnWLW1
i5/h3DSLY61Ls3+MRJIZflIS49ec5ZUFI32IpJl/1EOttk3WGA1uqJbtyZuHFFnoRn7Qi2ELVjk0
P3N93OF1s0DVUywBtidtaqz1DiZqY0md8BFJ8XY7UlAJT07ce0weHAkkj9O03FLOIPuNbPSOvfPe
N1pmBb2RFIShdfzSzWDlHkS7vGDezh8OZ7+fgf545vlZyvjziecXScOaQHBVFeK1XeUN9j8jrw4l
Kvnj338Z12Y0CI4Oo8KdX4q/aqEZTr5g3ENeGa/VgAhK+dzYf4V2uWpHPx/grp+vgdamcyLkPPez
5mB4mtm7HjDcBTLQa3pd4UW/cCKIMB7jYNKy5EeuUDp8uy9M9y8upvmz0ni9moYhLRjmnis53f76
NhOqdFrdWv3ebpN6E183AqZbiI193RyoscsvbmM1m6yy55dsriYCHtOz0r3Hhd2F/ds2A9k+v248
StpJDOu9myT9SGHh5x10TOffApwMqdXGJL/tSAxmfiWX0K/TuGrp4/4FwOLPb4iTsC45suMlmuJX
8O1i2bGkiljvFxwfONJZEhHUqhLSJINQHmt8lLvWX4iOf35RSxc6CX+XnamQv86AakP6HYpoIy8a
LUdLWuyl+xcA6Ixcn5vX//7OvB7pf75jeDFD93iD/CTbNn++YyLPMsnKFP1+xNxYO635MWXaptCn
/i/e1Z+/aRa3pYNVBm6RhPn1z/8A7TOJscGMS0rUzsLsb22jDlk4S8MZ/kIRNv6L64d3wSmSbaJJ
HeIXgTXKyBs4i5PviU+Km3hgS4EdEkdH1A9rWGGemUwPxwajExmP3W02DpZ95xpOwEIUf9AFY/dX
G4omWzuEy4759OwP29/2iv/9xf/TNTEMk1vLQ9jhsjjWr78pGci+rdxkn8WxLve1O/R3UzVxWPrb
r8P4F8dxvKuS9KcZP6KhIBVFQ7ynOyCHVStNcDVRyDyh317nf7fcd0reaTxXn/2vet9PEuH/Q6Kg
9LDmTR62/14X3FZ8Mf+hMF5lxH/9jX8Ig9L+gubn8Pikx/mTMCitL8Kh2isNk6lkfIW4R34XBg3n
C5VD4XmG5ClliStN8ndh0LC/uDhiBpA22+BJDKnh7wiDPz0jpH39xQgm8XxnFJHB0vLLV1cyLsXJ
x3HNugVeYYyXTZj2MGCMuPIZ6jP9BWD252fSP1+PF3Qcmy/Hn2YmRFaXCTYU68XmobvY0adaqAIj
If0VT8z8jSv5n8+/317LcXU0f54YfAV/BURhlZiWFcccGw39OhXTceqAs5yxT02zPmVhpE4Dtdht
jke3iprW+xA5w7u7csr2BYHCwme3YhzoCdfaNR5hZ37mRe03OyfiyAZaOGdi78bhOgQCEWxxwqAz
ZEhCeYKB7Rc0QSQWfPVDgxbvCzczHsnhsDO3JA26m95uibteKwBBlyzhqk+l/YOobLXu3JH8o0sA
8XNAp/3B/o0EQclqUYX5coexKEj5N3O0bdSQBuhd6pKKBbSu7ulq15BQIs8Re/wqdO7CbxD/lsQ3
44YodBLlMvJJbEqb8rMmt/VicSQj+8VsT2SmiDYXRa7Kt6RqP8nmED3qxF5G3A8Gk9zWmiyP5Swe
OVxm9SpLrfCwRNpyk0A6uGPs43GKkTvsUFdBlNTPWkF1hkr/JbWZVlQ68jhPWOeJR2miqduGYXNa
e6S5DjxtGFQQokb4ueHloMqZ5OkndBPWhjZlB23unhNvoAM82URMmqTyhdRc+nry3JdpSrqAHlec
QUw0pn7taN5aheW8zSLzYrQ4TqZ2D7RjRbS+8+ndxFuXfdYqL7w9WqcKMKl4+bZNfd2IPss08Xxn
SPmXeEbrGqtdRzM6UDk74Cru9JWweXFTFPpKufplHIjCDNV1nHcZvUYmIy+Yvrai+vQ2Ig74RofC
TABtywbjAheRGhVXNLOuK5gdP3B2jwIGyH+Q4DoaGRUVMAEB7X+EbxoKbL/qwOysS2hlQCAK4yMV
xYYgdRMUQ7+19PRTN0W2zsL22eE/VOiewT18Zl5yLProENWZEWSKOIaKm4eoFYCSsflmdROH2ba3
tCOzk5J1zWErcCfXXPwmbJromFr2qKO0h91t0zvnRKueAbbUNNnIflhjfqN70w9BmX+VTXAlMiAC
9Mdc+mj0v+hNjx5hEoZrLS6BlcRrUrRd92zOcXS2wukNksS3KTIFCLeRKIyVJYEINdCqEfUOCUCX
IaV+pXVhYErAKxmHk0lEN1GYMRK1NZ8z3eMNoMcAiec4PyZvoWNfwT49lRRLBmSMfbsm3lrovDQT
ajXa8r1akVYbAz7YC8diLwircfa1PO/8sOCLCr1ueezBcvhhJx9HnXdayuKowJr4tl6/oU5W6/+/
uP6vOG6GwPOCw8rq9u+X18cf+StfmfKnRfYPf/Mfy6xrfLFMnntM6ODnmfqVYvwP/03KLybPf4Jp
LJqGI0zWpH8us94Xz2BN9hzbAXmkX+Mt/1xmWYEtNlV0JVzXInsp/s4yy0/800LrgOU0XWlwgmLR
xx784x45yYDBccyPNp3e3wsjTXZFz9yQKnKGjacV44/UnemhsyXYEemkhDrl3UbFwtqJpbBIQKdU
TZSw0fRzY3QunRj7jUHOec82k4Z5nk1nGUbiZLkU3Ij/VZveDZ2PllkhG1aiVPIj6/4NJUTvYPbY
hs43NRHPwjHip74uu1NTtVW7Gsw+oZU+6O6NnBaXEQsIGihbjpfv0lRvfAYgt8FATVj5Tjm+h5S7
13Ppkosf1bMwC9qlVc0ThMuRcDRkodlRmEs2DcDMLChau90zozD9WhYgZQJKj1CbqX6hZWq2q5VB
6UXFbTbZdgUZxajLVax5zmkIXcZ0Tbp0vpatrl483V1Quojk7uk8h496n0y5b+pZNvtJI+LzjGBc
4W3wwPD72Epu+zxXT1dNlMck0UwsG/JclCTPBoLMLiGC/F7pRfFds4ipIRR13W2fsfyuxjKnq4NY
/BTqo3XsLUt7jLGPnrWqzGgfs1LurzSoiwqjct1aUfThzuwRgogkGL94DqMo43cf4hK3wW13Fan2
o878a+y8KS/feIA6+y7W8WKYIGDyS7qepHwXM29XT41bs/DCkhPMPK+YqR3lvgthN4gcQdNDuFXp
z0a7t6ldr1Q3HirZ6WtzwFaBhhPfDwSFmGMRKQMY01IeC81JQxy/ZXwl0ZMexlmOJ26oIQ3Zo9Ta
VhDyXLNLkNTfvRUxrWpFSFOtvKUVO6kVyRNiYL9aAFDfGFqV32uaLILCnZpbiW+yrTANA60frdvY
o5+cE6/dwUTTb/hEw73J7NoNuUj9e7MsyyG2o/CuItJ+mlNu1LYa5VufldNGp/+7zyoz3jFn+LFp
xoCmAzMu0yG+y7IJTdVr66+1VYWbaHDt18QY5htIXwAI2M9shMjZwbTdN12vX4o4mX3SyvQYGvXU
eWqIALT3pY3X5iQPxTTuKD3f1aYRDLFzEPUGHXb0mdY+4lUQWG6Getg5ZV/XgU4CVPo1pJFHvgfy
1NG/u/cyR8DYh4xzyGMtfO6k7j5CX6iyVUWXx91eS3rwpibiqdRH8/nBbPRmRyfcOetcvs6fKG36
jCtP2HlabDeLSthPzC+zz07hWjujbXIJ26IKqayNyaeu8nrTjkXZ+/MUdm/0FKLrl5JKvyyJP6Y9
NSE/EjRQfe6TGZRHEl/shvkpEuYBkffFje7qiSLsau6j5H5y3ZllfY6LNVKXeqmTtD4niT0eZr10
zmQ6aXOOllr4SXmzytVg3HtmI3fuAnndp8KjHl0gJV9J1Y47elLzm5cnxePcm1W7M0Vqv3F/J5+x
UBYVZMcg2lnOZvxqhLmd43G5uPacYOVtajck1vXCJF4AiuUqKaWE6qKmL/3CCeNtze72Nmbj+agK
MzqE16F0WdFZx1ZrTH7JohR3MZIo8DLRoFO2fWRvB32IbsnbGxfVRmKbjkl/7OMauBO3MJ9qaJlP
XdX1xzzrrHVoLM2OtEZyA4zBPTP2EQMwJ4ld+CRJ9RsR1sbOa8boxjFUejTcLGM35TjMJWw1w3jU
HDEC7sUlWvP9lWeZ9cWFcpF+b5sTM79qQ1jxoV5G+TXKC90KBgI47+NSLYFe6F0g9ZoObQtqRwzu
IW1m7Fa6qaiY3qTa9bVCsSXl1HTrLHFjIqd5vBu98qynba/Rv3Qo91tTSnO1N3aTaxQXkfaMreeL
u+4YObVt+Qch76V86BR5/r5LOpAK3q1CFD9lU+G+0+ZPwHKE2cYwsRVxKdVNRP59R+JWf8uWJjsp
5UyMF6PcEheOvIFOcE1eROLIABFc6CEdAp5F5U05z7QFKkyUNVGNN3bC1To3cDEsgBrftLgh6Dd8
S8Hubfnqx3sjE2tAbhwA0kx92FXyIyUGvhadNgc0SJJAVUD7cqs5JJrdbJ3BsfekOG5NoH4rhxla
F4PcyW5eonIfaeFBj1pHEEOY9HWfa/Mz8XMmb4VG1F7MEGFrFeHHrlvbXC1l/ghtZ9oURNo3QOmf
c1oF+7zujRVx/jcSImN+MDnSW37tDdlqjGz6Wvq1s9+Htro3lJ2eJsAEGzer+zMNhxvpOt+Hqd4R
pK3xLkiEd1M3BJD4jLNbmYTSrz2nKuaM5ovWiyFreVf4pRzSG+YIu1g4tGpjf3LC/JoB4V9BQxTb
xkoPbRZy/guduZlXS6zr9spwmYrlM92z3qk2fy3mvDiIXAwvVl5zPArjOTmlMwSRMjYaPSgtrblv
yBFvlwY0it/aNNikmoabIo6yYmMWkLsoPFhMZdSsHxwlVLJmiedMZtd9zGZGi/KgHoeETmzdsQ4k
ZkePbIbF0TH/IhXvJbbzrRT9eJtkceczr9uFOsgiRr8Jjp5lnnBXbnlbABkiZ04frU6HOBF6FK4D
IxynpzAkYcPt/rI4gqJ1j8fgDpusa9JXHojNPY23xK96pyDbPcHIKy1YLXrKsS/FaHnRokZfRzKf
DqnVekSfcEEDHRY4R892PEk3c946Mwu/R7zwFbY1rV3PEtAhNLlprbr9WkkF2UlQyetkd6BzO9zV
aRg9ZU5Rb+FiOp+gGPPnUdk1pI8FIoGbl0Wyy/uo3VGBgk2galwZ3rzSacvZ5R1rwLgFDaHOruMu
B5MN2VOyyOwwQV44NKYbraym0fd14fQsSJLKhiorplCZibuPW66VA3DonWSFvgNHAR3HWcINnhjS
ZmE42yx26F9k1IdpWRFPX0ns/KC22pXZkXbQMafcqcSsdBliMIztDw567OcqbsVsEmtTJwjDg3hV
9CMtfwEFypwvmtVYADxGe5/V8KuSIqxeGX5XBx1AiMDpGAqzdkt9U/eczc3F7P2UdMoFZcI4RmEz
whalv1eO4IUTIA2bOi/rlQrbwMFBOkdquDHN+dMwOvhPimVqChx2+x9D3hF7cYCTmWy1zh4ew6aM
xuamJ5O81RYiO93IquK1hnqEfdB/ne0hD6aExsFoTGcSyvjkHo1zHRN+FSpgbd0YWZyWNZInNoxc
Rq9PcWBZ0wt/SR0TUEJvrbtM6zDV040dR+VRp4HwjevtUnsTQ5lRw6BJVMcZPDlCszvYm/EBwpG8
1Iq1PBxq/YZ2aHZrOjI/z+ESXtAI3WOhl9lRxVpm+nGdOXd8Q73JrykvHjmHFJcyMp0fC73VwO7D
8taaTOPsDKY4DG3u/PDi0DsRB7pKAjHQtrZpbhxdUO5OCaa/aEbRn3hs5vtmycYVdIT3aFDeTpZp
vorsdDgjnLsvVFf6dclkSMw+Fnr2RcSWTvXcXHlUiZXsq4K4EpNk65mnB3iraJlK9JWK4nl7jUA5
cr4PUzzZFcPfDlUiwxV4tPJgTdn8NIIQuJ2K+LkSMrzTwzp7GXW32VmyTjjEW1urZQ8+R2mzkYkw
1kVL53SOjercypSVrg6jdc2+aV3qPJwH6HhoPpnzTecow2V2mdw48MBj/1g9x7QEv3tlnh0w9LmB
284+uvQg8amja0mqI9Z6iWBYopMIBmrUy/QezljCImHdC12TV547tekk6/gkZXRTyear6FX0zdVC
dpmF0Ff4QS/4UQAEsm3h9Vi1Rf46KbRCVtRJ9+F40bh1BiQMYgK6juHOMav33Xp8hww7PGZ0dQ5p
i8ygUqX2lmMYBzkN+ZoQmb6aCkDHI/gdT6cQVDd5upf5x4h59hG5UNNSGiwuW1g86jFv32ctnm9y
mAWEhJKc8ixgim1Y4Fu5Fae+chm5fPZo31I6mbdLnLV341AyuUVU9ZvODXMeMkMhgtL/TswUSRCK
+xYkprbr5dyfALNgJ0bJ/BCGScd+Ic1fM8NbeCt1vi7KJX7nMGbuFbBwslWaDcKub6jeL+N9phYc
vKa0jJeSwuP3QnrDpkn0eudMswdd0MvhWi1TwaGnd427FnsqCFW36tyMzJfyPAIW8DevNepKLJzk
VEL2gM/LkV72PJfTyJ01im2llQSgw+FkaQA9CS7KyjGBi9HxVYn76bHhV713nEqPn0+WbVLlsvIS
BnWSgz2Ag9PXhSx+wIPcQZN4dAfgFSBzEiqAFmJvXs67zpXRZrbbZq+sqt9nvMuXRq/U66KMdu0h
9D5pjukdSZ+F7xp7JkA1WLOBopC15eOx116h5Ik4Q30UvV28wJ4f2Bs5zp6ATbMlBwmjy5snjTS/
meg7b3Gw/UvEzmPDlBCqwdjkW9OKHT8e8dfY6sPDCOkvveveDFoYDuvsA3SS3z2hCelruks1lS3S
Vcjzzv245M8Nyf7tfCUZ0QufXgU0RdaOrDTu8uGKprDL5UIpXB0yZ5mIFHUIcc4I4sIDTboOM7ns
F5SKe6/w2ldGlCUIb2P9DCkBRXnprP215rYW2dieXAJ6g9/0tVgPvaETXmmqS+/0QmPHouhmL5F6
1EoxEmlnfs4JMKhYjwN8Nj+jZ/mSd1azlZ35mWSldyD7EUb+DFngzo0MPRhzK3niwdEHrd4N8YpO
1XAipGUe2tA0AZHOxfPgZOxcF5kzvmUQ4IHy6hy2yjnnYOxIg3bLvKpiat6+XZjdXSb7+pbNNdkV
xmfPOzCIPGoaFtH7qMIP8JMYq7EWBflfY2kf0po9LM2FrNgVmA4rj1PMEY4FUI687L4KnfgaMAcZ
zF0WPdmpC9K4ZU4Uw15Vuh9LYfpONy6Hgu3ZoWmW8Vktlnr02IVeAFSxmiyp9QR5Ijl4yoChJQfW
onBczniehF6zWo+OQCKNU9mR94qJ//tOmjt7ndIwoI5mMaugSoXzqmwog76XWfprQUiKnOK1oWdn
SqK1pF6H8NDbzKaiZTncUPA11lblctptQm3ZzDKrT6zj9QsBvPpJURhliJXNwcClRTC7ZnVrubb7
VchMHtyWkIoxKGc1amZxZswSW6y072BeyTRRz4bsxQpJOr4N7QkuU2dceSxMjX9ZjJAAYqfrfl+7
+Q2TYtl1JimSrTbQcJEgKO4oMkV8tO5rPaKAxCm5AUSrjT5zBud9GIHZCKK44K5Cl6drNmpZF5RX
7cEo+JSM3qOJBzr6q5XrzaHKukGty6UXb5rN+WKCCBKtvEwQbpZaUxASwbrWgwS2Ne+a7a0mpock
TPNTYl/TkuZUguWwrd/HcP8fM1f/LyxTILXqhrhOLf/3yu7/bIfy9T1+zf/HXfv68aOL/2ij/ucP
+L1gIb/YBs9T/aoYG9Cq/yXwesYX8jA2misRFQPT5l/6rul9sXFd+b9NU/dseZ2R9ru+a4ovwvYs
xyXRgoEumJP6N2xU+7exqn8wG6l98EB0qHigQmP4U9f4Sd8dSpHStZmGfYIMcHLyqn+ttcjbgKcD
QKi7+2pRDPPJ+9A7AmFlg8zs4ukgek4nQV5Pvb1uvaYqV7a19M9todiV0ZlmJnCr33NaXqVZAZDP
tIPaBLkQLpnkiO2F/piPHZXh0VDoEEWP85HZ4cpppmbTLGHLwjvZ71anvSzKm0mBsDdrJpEe5mLR
YMGjvklBMJ1WbQCifnjgoc22WekNIlo8wvHUHZjWNQ39TZw0joKaDhluSdQx7gcvyNhLbMAVyJ1n
qfvc6aJnq+IYvK7I0j0C/Si/NdSuV+ZQFneqtNDltLEbnujlWheZLBFofxZjeiPVyV4im9myNNNh
LC6pTyDX2pJjRz3oHOspGe0jy/e29EzjISndxVyr7moAthEQYTt0/LIv+0PtTridAyCOO9NT3RMm
e/k1zadh8QGRhJR3q/pAxNJZgcxPzp1rXFsRYfjSliUjMwdvgoZtmmrPOh8TLizjlYO8kZb1qQMa
vi5dp6G5cWWeAoG3OTBdr4oen0Fm1He9WbZPEajvfQ6sdtuIJnpq5IA/HIEWYo7AzdR5c7qKzbYo
fR7w3q5PimOUlejx2NWbUHnxW9Izy9TiyLe3TWjhU2ZmbPHCaENnwmLdKe4jBl6vcnoalqHHl76r
382JueGQ8OpHKzfsM/WvZLcQll8RVYX1UMEkp0iwSZpFO9MfYKYC0Lzma880ogCWOBi0sQeg69Yq
3oh/UVpn2fQvyjSSRy3uzKcmLcpdqIPahYrfkP+fxvSydD3sycK2bkjshAEBcQAMoq7Xv2Fd4ZAh
9utdBpsh9jiqu15oHxJLt9lN9iI8ghUG3tYnOX5urHt+6qXWEXj+A/2aGjipzQCGfM6K344Yisut
8K6B9NVQ37WmA83tFvpnnADuXxOJ9fqVbWv2fRmHdr71wiJ6buzcHLZMqp/fLaH1nN4ZdduxCx1A
wKJe+FZrq9cYLsWekFPR+UUtkhdbE90OfIHL+MBK1y/TKJj+XZhif61i+hb9bIEsV5qCD2EMQfiZ
87MxRteM6mKy/zd1SsFYQmg01tJmAuBKyqBIdBLrZBYGsvuEaW8Vudw2i50sZyth2sQD8xksAylm
bqIN/HvL+wZFuMFiiFmnc48JqQFgVZh2SEjo735O0ijZN13nkEO9Xpds3UCu8zZpLmP3sYtngq9g
hIAF8qE8YyMzS3tW14sV7ymjlQGTD8Y1P8a+wV9D+czcYr41pokUe8EYXOM2km6kfE0iIqYj0XIj
JB1qD2SnEJo/U/Qngr+ZGYydGUJ4xMeHLM/cqcYwN7DfCBdzAD578joBw0ocf17sfkMoFcsrcibo
6hGEw5UFaO9BeROUEQ0Rm4qld9DygapRGj50qYtpnKtvZm2ReRAlOyH0eLJRH0ZR7EuFrTRF5VbL
9WLrdJ4ZTHj4a56m5SlCSAOSI+37AnF9D00rC7C2uXQNlKbCLgzf46EwiOYYR5odwHfEsw7dEy5Z
d4JEAt1WFc0xj9m7mrodf1DLybcumt43erPlWVkZIX0Fq4QdFWayFw8+PePoNnNRLi2I8PeytTng
lkzYsNlqrxfCiSDwYz1EAp4esr6GXd1n0Z54Pu67lO2hFvHVNGfqq5w4lNDzequM1HpoKiOjihEp
eG9mCKwit9d2yRxKrEd44qEXJEY/nBp6QBDuYrZ56ewMj3lc3yFDbRXGF76Gw7y3Fu7mbRjnXeAs
MzxkdJjVlXnGWWqrmjaIZnVv61dQodQeyrL+MQzJHfN+et9hXByLWd9jo3fytu/5ljENY1jF/Inf
TFn5bFMiIvBsPdpwQay5oKpVhB85w7GNofTutGUB5UN9hsd8fVMzlwNBmskT5M2rK5bxU5bgRotY
DxqIrWertgrA8xmLFsqtv+SwOmhat1swl1eqWS83DA3qjmmsSWRWeHIF6KhglBKpeHaWZ1LvBtOz
woXwPaox6Yjx5MaZqTMpEUynUz2IPsS/ca60dT2H2Yu9s3btyV5n1lReyJAD+pKMvOBAsJwR1xhj
MReTswOYyt5caQr0QkpMKUDgQ1bIGxxSYMXzU5L2YLOscDxzvq05LMls7cWOQxy6/awbRA59cJvD
JEJrExtkJnoYwQHZ8eLO4aAHcrgzD1NuZW9VDbhMd1ICDtFI3sa+YsEgVbk77gSehL2md+uwGeRn
rSWsKCGq292MS3powmXZm9KJznXff29KZpQ5bMFuwlRbnqaxOTnM0EXxoYfBYJMmrQe/LK9Ijqn5
9oc93n+Ry8aPZy/0014JgsY1J0oHEoScZ/2SF60qOB5prMf7/2DuTJYjZ7Ir/Sr1ApDBMWMbMzgE
5ySZGxiDmcQ8z3h6fR5ZrU4GKbL/WrVMC1mVkggADvfr18/5jqMRPLzyxUCkCz3D6arJM/1hKCiG
OKqI6K/r1ZxRIPT5fV4p05rwRvGrCyo3vpiKQYh1Astzp2iWz+oph8+yYDkHlaEONrB723cqjkKj
TAUJKULPBIREAwFKX0026TxANdST28lWcyizrIHA20sSNi7nuUuuQ4fV0KhKzFhqrHPg2mptc1B0
jaahGVqPgIBoNuQkAC1sG4zZQq3465zPWcOl6yeNNwz2tIUpmp8jkBo3aZgSbAL3gpLMds+Q2gww
q6lKICsBZnP99ocbKyUdbk5u687lwK3oQQu3VMXyTCfe2CMLX+sUHBeAzFlagzvjurOIUskWvRj6
dIvUkL3M6KACq1UYmBe2ETkUV5yBq12v/EbbPZ01jWZ4KTtcwKD4SG6ThNS6kQb6VQYN8LrRw+Cu
GqY1wrBkQ9MHIEs+o7vqY1FcZS6eD1yicLZay3zMgdevenBmyxYvxiZs4S8H6tSuS0AnGz1w7kIT
L3Fj/oRvek4L5QX38LYL0fwR2GLsy/jQ9/Wtq9AZLUQolqYyo42itXgbqgl6roIHN0foBDop4aH3
TKcVIvaLqExtnaWIczq7P4O5dgv9KdqHfoZlBEnndR+FO5ui0GNdSpZqa6U/arvkAJVSsvJmu6MS
ncqmXwNsUOBn1/lTPI30iLXygA7SXNY1ARXm7OZsI6PiqrIrqs7AfLUh792SglS/QfHs9k1LzbtR
nLBR4K+aPkadTkCmzXskUL9S2stPqWFhBXIS2zW2Lqy8fTmXvcasbprjozuPAnhNppYvExKu59Yn
BPHO9BWNc/3SJrbYwpn7LPQg3DslbPkozK3DAPqGfkDf6aSP6sqhD5MmWmZWj65JtCa2OhiLdmj3
dDBj6w7JQvsKD5gSDKr+nUZQJj6vIJm3ZgrlIa0689IewxqTYOeigovy4CcHz8GtarTGJVoGSopq
oFDohgDh2xitLUvhWJ6sH5qQuvWCfyrh5CgYA7EbCJs/iwbIU7xNEapoKZTkdsirYVgCidQjzmSx
TS+TNCMt1aBiIfyV0VNteJQx3YO5MNhm6GZzxplisOfUyeVxgmleHNMAEsPxb/Kynp9Ym4zfXWF1
O2q3VmOOBfWvlxU00wQrER8CkRzlRADT2eiAiqXbJPIflhknZFkkBqPF6m6D2HWfCJ0X91FmSCyZ
H9zOSkLNpKt1fjd3VXJ/hP47VcTaNhupemY5A9K5yjBBCmL9ufiD82cDZ64dkhHWYU3P9sj0Vzjk
xMvTG+0djXT7afKHN8PneJMTvpjptU7zl9BwhvVgEqOJemX8WesTtkp/7KpwAdk+e2nUsL+DMGo8
+SOZW7xSUrNhDUMQBG1EFBD58PrPOakAOOmx8ky+SnwLSNZ9gUA+3gtjzC9iNMbJYszpOAO4FObO
iBERrDESEXZyjA6I9Nl67Swj3pVK14LeH2fI6GaXQIgXpKUMS2Nsp5+qUyv7QS0znf5rzNm/lvvJ
OSjqChy/PazUWet/qRkYUj66xnn8EzcACF7Rz4tEC6AxaWrwpHXD5LOvHAnnLpW6JvyH1eJZuuvu
zMFJPIhrOpyqKkAIi9jo35kEsI8BZA2925wx6zXdSp36MUUXW0l+5DhoP1u7nJIdFOHwMMWF5ku3
WX9ZAgdfVJqf1eyPbVDdDlU6nvIkOAeOjqMFgqT9CwSGuAAD2JEFo9XJFvfI/KOtQzLpRCuanRmM
ykPemOF1C5PuUIyivfuTdCBypZIm1TFd1rDCh2VWEOENa51BsqyD3OL8rhRepAuXqAxa2IiS2iDj
WF/GIrSmi+QQGvTVFI/M9raKXoP4BJJlWkzF8aKh34h5rVHN/QylhQ0HAKVL5Dzd8xzq+iEAbNZs
GPPVb+QcGLmOcQoQjoOnHNw3yLnQDryOHcubBgZ29SdcIWujXKyqyOacS+kxO9ZxUv0QWTwPSyUf
oUXTUYZHSW9t7SYOJ8/IIsdklYSz5ObH7lUMcuuW55PvhxY5AUkM9XNWnWQ1jFGFBodIsmqROQQe
LX0lMjFaDqNXG8qw1Un+GuChmSJe0v5jPMblWFwZRhlddZEW7CpFbxzwV4DFas57mmVqS2KyHico
1cOI1LhVXrfuD5g4xGWZhf0gFDEd2AnRWgZ3bhgcSUxYHMmGqdkYj5NYRi3ZGlM9PGmqetcrbXWP
hbaK1t2YE3cFs7C47pMx3PWzZr5wgmnzX01pu48CbfQqOuRk92rNU1fpzdsYqE62UobCuSvUMbub
jTj4MQ0pSxEd19DL6gza8wwg+xxXTJ5sKKWVy6CAMLHpSiX3/qRPRHr4UANyPZtyHQtyEqVqvCVE
kFYvPvZhn7thfXUMp0iRct8SogF61TYaz7Z659kW6nhXU2+NKzEqvsdmi94pZM7Uy6lY6w2C8Ww1
d4zOJceshX1ViXTiA6KRtyRQDMRGNegvPVw4D9hmsVdFMqJFsNETGLWUObDfogQLm7oJFm6ljNfH
DIwoNYdXWw/aX0GJumLRxU5Wr6KulzUv88QLG2I8mf83HaPPFQ3lnjnY1EXxRJhDDCqAR4wD2gWx
ym5cendWWZ9QQFd82ODYaZSvFNupvHjuWmyaaSxWhj8Svqemeh5sA4X2L9yR6tJRjHGbVijkO5mp
wUEiZ7CZklmMYbBGiG8iddKBITAfVS3O6esyqSkDyEEoou1YGRMFhl3MOCopizDwawWQMuI3ajV1
Z47n2uD1f4nfyGqnPm/itOJIcPCn6QxsLEkcjg2jdw1mevpZutRtUN2zh7Fyq99mMjieysHpo2km
4Q837zvOrTR12A6qIrwCbcgWFhwe/5zjwVnJu7dEDBN7at2IY4Kj83RcSjzjasKBTq/RVLasSRU9
bYh/PZmMq0yzaRQEE8RJIBvmq2EHEGsttzTvZ1ek+EOlUMy1zuyoNzYw8bGMNu5814+TuodHQaCp
Qqal6zcjSdVjXNw2luu/FnOpAW2rq7sUkEm54ri4g0XaKuw4W5huMz3STTOG6aPhKv2enuR4X5R2
7rH5lGp4pVCvIntwVi7xMpdNqppnPR/8/dTKRqiSTruAJJ/lFI35W+HY+ZWp1eY9w55SODbOBGJa
bxR++xS0vXHOGcd8buPZ34Wm3nldgNIyIxdxq3EM0djmHUV5fTPYY3WOz8W4CDu9IBMqsp5VglMO
QHCCJbsomGCRUa/8WSQXZZdH1w1pMKQlE0bTgChZDBqdisbXgjcHUrY/KunOMEvOr2Vgjw2i45gt
MulmfdGW7bPb43iAdE/yQejW67BAFeVYLvXp7Dy6TFiXeViCHmmiVwEYRPY7krVecxrV6oAJTK07
O0aQWMDpz30nhoWWhxGY3zH9GetDfjkbNCKP8SOsDg3xaka7a+Fvr5TWiTfcT8MBu4FrxN26xbdh
0WwzPuzjAMmjKrIMYQiBZu19zxudQQtro7A9DSIAhaes06LcVZZV1w8YHFp720XtNvM50OqGMOPI
0cxe0hG44diiaUB45ciElXR8cEOdW0uPFaE4VofusVJEo0LVGPXJ9GrKPjE7G+cqPtaWoi2gGY1M
gq1MxNjqxxKUFob1Es00E4ncAOPsaw+oijqvpEsMCJz2WzKDmFRit+DAVNa5/bHkJWEBz76sgy1Z
EZPSMG/9cGzDNTKQ7C4uJhqTYqCKlvW0IytrrEXRqkahs8X+TGNMtuFI9KQax2ROYT7KGj2W1To0
FX2vyQp+UqaSU+SQsp4GAiV+6WL5vrPMJnk2tbR8Me1Z7WDDtPr4CAeGhwSgxNy3M3uS7WBYgcU/
qcqn2i+t/JdCTCfVJjjht1bviooVDXFj37SH0NWHGSmK4TZXpOII6zpRE1tfp3M23PZTwQ7YcuJW
rKeeCS40+h/DqJm0GuGmBZsshkG/4OQ5q14sc7YJ7GwU87FqtfTaRYx8OVt6+uQg6aazI3ua2dCL
g52P6Aw09s2PdJCUDaJW/U7rB+W1RraChQqqiq3qpGmEVRA9tZFuLJjjjUtXjeirOL36iEiSLwX/
+01VWDG9a5xr64n0mnMjJAxNnwqCXXs9uBoQqy+Bs7RAeLLpXBlH/RI4MvUAfraNPqZPml6oNy0K
UcJYaFTLvi/d6em1PDaD+7FliVCQ4YTrgbnltjx2joNjF9k2NZUOiuwta0Zl/7Idy7keyVa8nYNZ
PKpjH/9OTQRdnJqYZwFeJi8PVHUXzD2d7x4gAmlutjdkmFyWX3dP3vtKbUc1TQefHqpBDAvQvE6+
uTCErG+G0+AJEkoBP4kp3umR4Z5/fZkTu8Kfyxi4IlwcGthK5X//l6XXLapSdLFKrEcbJWfW3Ffe
2NQrN56/MZZ/eiEbj4XDqQ2HeycXCqI0zibUw17YdCVaj0yh3wJ9uHjMbBPt2de39Z4RKJ8eh1kG
ZlmLWgBT7omJvqIJkgq77rxwdOjMN1d+U6Km7zDrOdRGyTfm3I83x+XIJJFNLqF/eFlYPgGB910H
8ozmWmsUl2GXekUb/Pj6tj4OChvzry1YiqTRxTx5iGQ4anlYEFhDCuPamYgUzabLry/x2a3Ii+CY
B1FNtOz7AZGlTYcaa+g8nS1ru6rk2SYU+VFdZpX6+vW13ru8/7wlR2iCq+lw+fUTr4xGw5LAEtBG
bC0jRICm0m2IxE0ug7hD84yD5Du66Ye7s/muVJjWJqZUjTPk93c3T/4kzKq2vLxCHNrYyaNrE33S
2obyzXj/8KrklbD8Yg2XA+IU4+BWPQlURFh7iHh3HOlsYkbG14/v00tg/dcsV84U1slR9JSDuyPg
10In2mLNsYjkjhvnGyPvpxfBwqtTAhiki598SYnfIBWCou+ZAv08sTfGWZDo7eqf3wrn/a6rATLA
n3wyEkiGMjj3tk2vbTWxLVyBs1QeMf4HVzEJF3CYE2zdOLkK/GuhlBW6LBjV8PrU4HWSJ5pfX+Sz
IebgT6NMYvlgZn0/xPB6kBtjC9MLI3KhihkdM2ca7SX5Rs439/PJpWy8ItwNXlb+92QAkFGdYPrJ
hZcpo+aRTbHlxL9ZmSyB31zpk1FAD4Qx5moO516O/v6mnJLYb4GJxDPgzwA5PB7nRzo+03/88LiO
AfJBY/3DHvL+Or4VjQSLzAJbrH0/S6AVJh99w3Gg+s3C92GFkEwQR7r+bLQhgF1OrhQKHClhNntW
0WTlzTC3toPxOW037aDRliRNVp03ZNh9OzNIIsS7UxF5ZSZWi2MRi3n8ZBQGxow7IStUTxgO4SWV
U5zFk3uHt2AbxTSF4qy6r1SRrb9+tJ/dsKFJwZbBnGbqJ+OSg3Fm8aojvSiXtC09dvcDfbRpN9Cg
uo/rqTPWYa4oj19fVt7N6d2i2WEuRLoDgEU+jb8KjJEq0SF6ePSUCVrtMsloN5kWSoJFxzb9Yjyq
WkoSlhfGbLU6nG2CDL/+CZ/dOaIdy4SWypp2WgxopRnRaLRGKhukpjZBoGej21uPlLrPOGKM11Lq
Z76+5iefJlIhqh2bKo4V4OQlD0Q0lLWfTF41uAGp3VKEk0SC9Joii+++vtaHZdQm0ItXq7Fi2/zP
yVAurKFoymSYYOzUzVkUTpwKgFnNAZYtZw5+v77ap3fG9hXSLahbU6J0/36hTVR2GXu6ySviZjK3
hdmXxSbTw37Tt/E3g+eTaccBmMGHitqK+VTe+V+Dx/Y5kJ2qePTUMLrkJH5ZCv+b6fqTwfHuEvJ2
/7qEpQvfaPB/eiMRrXWqQsSA/t8Xy3/+1P6+k5OnBr5ytPHkkLDgXpL2jUfSuYiibz7xT2YW9DsG
RYfmCIq4k0+ctqXDQl4xS6NDx3ph6UBn6bM0Ul/V98QgjjpfOQ7Q9JsrfzIo3l35ZAjGkYJBk8MO
T3T6Wa/ou6j+5j19MhRQSmD5NqGoMM5P3hNIYoixQ655yYRObWCLu4ppIHyz/nx2FaArqA5RERqG
fvKaUCRWlSVq3WtahUAl1b+Ze9aFr8fCdxc5mRJdPa6MeOp1L7d74+c0O4o3637zTeH2yazgMv0Y
wGN05iBH/oq/BnYw5FOdZxb6fadQliiCaLWNinJedyS+yVH/n9zVX9c7eUGmVdahWnM94IYkkhCm
aodD+M1n9HE1ESpLJvfDVpWG1Mn7UdgRFzVHLV4rxX2kY/vPyVHxh0MrfxgMLb+LDAchSz6O9UM4
GMY326OP706oEtYNK0CDNnC6A6OpMSWVXhqeBK48Y20Y1xHuoumbh/lxVqIMpghSpUUErNDJ91Ti
DAwbThk9K7tWum6jkdH19SD8+MVyBbaRrFEoB/mu3g8PjMxZxnmY4U1BnW60KtsEYB8XkQEe9Osr
fZyV3l/pZCCWpeJ0tZODRjUfObaJpn+rqt8B6v8GAH5+K7bLjpjSlE3r+1sxCPXpOU/CHKpUmA04
bkghd9MU+uf3Qf1CAWFargHc/P1lmplMPtoYptePY7fLy6K9I+AyXjUByv9GqitzqbMkCyz8plb9
ZNDRdpXNKN2myj/tBSU+p/Mt5xjebNYWcZUVJNs80PPXr2/w08tQIVHig4wjQvj9DdptmDUET+se
nbMlWwo0LeU3z/DTS8jpiM03y/rpqIP+W81FHRgeOWWonQ5jjd3lP7iLvy5xMtxilY0woggDAsyA
Pa3vijMzCG6/vsgnY1popsMkxJ5V/TAWDC3Q/ahiHjLdDVlaz7R4/4Pb0CyHNimSdkTwJ9Npjpey
b63a8LB5kd+JshgXobr++jY++XLYy1GaGyqFDrSS929cRV2XoEqyPVJM94F7VSX1Rdl/886/u8jJ
TOM0DVLbmIvU/HVorA8hhk/XQhTx9c18fCcaMjOZyuA4GrCZk+/THhvhBJh8PcjH3TZyA2eZ9cGW
ZNUDuQUb+k/qOnTcf+dj/K+zz8epmsvSTpCzDxWqfvKiGrUj+U5etvdJqFasAtMxsymbA8gSQrtD
EOmsvr7Tj0+UIWHhQXAM2IMf5oMBckfjlpHpwdJwL0fVKh+0oxRcisK/vtTHKoJLuSpCPnpYbP9P
5tYKB3dEVpbp4Z5VV0rUITsEAIV/k0Fp+f8sJoqOoI3jmDVPxuNJr8bJFBQMk1L7bWh6nKmnO5r2
xgqqwTcf78dJiIvQNTOZx1UG/clFOjVEfVR3hod4x9MIFdVxAiFN+GbdO36i77e+dEw4MZOTBPdz
tJL8VYEhDi7HlLMPbyrLPCAmKEr2RpAggp2yZEuIbn+GyG7CPojgf5DSf12aAOIhz2kkpxyomWS8
NNIs0PfkUH39Zj97ClSGFNO0yFlbTsatMSuKE8QoBJFNXjSKdjCduPrmEXz2bfz9Ok/2bz6mR5tD
MD5JH47+wv11vIV/ZKf6fwNRfh5g8/+hncp2WellM+oLN1X+6yV7yf/1kv/61z56LQ4v9b+8BnbW
r+ZvX9X//KV/26r0/6JiputNq5gqApfU/+Fmudp/yY/OwiAF2VgW1//jqxKQKxka8lNks886xyD5
t6/KIuwG3wOUYM6LYc/Sff4HvipxOlLAp7LUqbrgl6m0mU8m76apcLREY70NOUxbxGZ2yEuHU3Ib
Zg7pjyWN1PSttRCIzi7yaNFIJb8illWvLqaokCKQnAjecTCX/hD96AsAd3895E/kzCc5cBz9QXil
jy8BmjwRyJzvF0u992FsJkG9dTjoXpC7qq0BK+kLcnAvkBS9GPq4t1CqNYGGQdxCxfof/QAQ1BqP
CmLRybylJaJ0BjTNW5/YnIU+jz39kFRHFO/DUSm1Zef7Pm219qwLIT7Egt/x9U84XXjkI7CQAnCm
Bt6YJtD7R9AYkVanWUpCc4cVC6jpPRylfVTl3zCbj534v6fOPxeiO6pypMbxycmtWrPftNNUVNu8
6ItdG7TuBg/vU1Fl7gbLM4IRyy+WlYUjrh8Gd2n7an5BE/zGRHd1QV64stYV3X8hNXpY16Om3ur4
15byu9i6uK+RyJF4g5UpWSvEyi6SxLBpSxKlWncc7dplAB+1064rJUwZfzzIqbKeG7/x1LqB7xhV
/lmQ40lTtHLaEhcUXk7+wzwYjNZsvi9gBW+McRj3Y5O8CX3GiNOnh/yYQ1v7+9lxf5NrcqvP9uPX
b+i0CLIYGbIdiCeTECqOCN+/IXvO1ZQVu9yauu+sCet7jkkldYwae7ymRUsQFy7ZQr37zWqiydH/
/o2xl4R7SxlFq45p5P2Fs9K1Ac848dYh7QVxrIQbOHO7A8GK/kMHyhHZM/njtWaeZxMfdN7EWH+c
nBeajto6DYNN54CuMW2+KV1oycr1ab0UKNS3aey3OIA03DqTkmvrr5+Zpn387QAKgZYxqqErqyfD
Wu0Qa092iIlMaDlHnqZ5Hhz5or17mw5dscZAnm5bv8325eh4vS488l/POmLKQUla3p8JyBjJk7qw
bHZoKFnBlGCyX0H7BgmLpX1JVNDr17/747s28PJTx2hMSDhjWTX+7vC0WqSodc/PHkg/WhjI5Bb0
/5I/D7q2ADBUHSRTBR3Ed9/nJw+MUxrX4ihV9kNOXnanZaQKuXW6BelQLnuJKXEj4DRf399phQJA
3dIRCwBs5OaYcN7fX56iPVaqNCVr3s63dl0lIADCw9cXcQz5Z05GLg5hW254JbPxlNhYZDV2NWI5
toWWvvm2X+NPJIoPsLneLDgY5t5wsoKTkSwVMSdnmZm+CY5xbrDxr80cRoEP9GIpjN5dZoS8rsM5
UHd4NkuUuoMGx0CJlhCe7hVLmTaqZe+1caoBLnYOOFVpuBCpu1FQJq+RgmrgPcytOjK/mQJypAR2
rIuI/7cmNMUFTR3CBxCu8nnw740KcNQ0K6MkvTmLahyV3RHxTM6Gu8k7hSQgtzQ2mtb8GFunWWjl
gD+wjQ90fw5mrN9knH6c+WXsLgxAsrVG0BvYBWBXGCKU0SVgylLdTVpEb3XgOwg8mXMrHTguoAwG
nGB850jUl32ZHqyeMWgkwUM1E5bTp+59yOAAEpjwu/WbPII9MoQ9GW1a+yTQHy4HOXtPU9I8liOk
WkMhPRw/orbE3OwgzYyNFwFnZVFrNqgxwK9NMDoSmaRBXUwrMFQ4TmrpxwNJf9sXA8VDNLMQzxYJ
W2n8Rrpls+iD1lllkr8TtC0Y+OS3lbB6Dnp6EQxDv+wdJu6hK+GssYCs4nFuAVgqTzagFuSntbtE
t+asaAj4y85owg1zWb5NzOjAITOwx8qKlkrDCpyi51rgM7ww0/IuFu59haCQz7BuV4nvhFuKH52F
pTcAYvFq8qZG3kvKWFZ2VxQYW9/OD2Avag+RDNxmGyKSOwZgmycmy7qKraWTWpuqSt9I4YGDUvXn
FcC2OUve4BW72xF5OPwfbrQZMrSF+qWvMwLJ7nJWbFb2CWk6Sw5yEWnpwJU1BMArv2ScF3LJnArq
q0RwqalP3qBGM2J5s+SXvB1P/8EQmz/6pI154w4IODpvq9EP3gqXMZGHzNYqJ20rJSxA7KD+DBNW
aoRoB8A56VUHtnVJKo9z12jpZo7Dg6WrxQ7Xag1oz75X25R7pDy9sGL408cXQ2Wwb6y6XcPlQM4s
x+40MGxUUvtQaKbtogyjg+NTM5qBfqM7qbttp/SAfBDNFCNctHwax4Fbz/xuH+KkPRr5WmTWFhbJ
felSyISVmvz5BDJGmBD6DaGSnKP3FJ+IVefLfORldWhRF73C3ysyIB1OyAhC5g9jSuVzKbuCvDGt
Dy+Q9EJ6GXxETg6Dtmijw/GH83OpYrp83sSImLf0lepzDZjQIzRud9O1KvN1OfKp2WF5WbhutY56
3p0NT2c9V7YnLFxLJuGJCzTtKOjH/qIYcJTFiR8jwYOZnDGBKdIpD8GAf8N9MHSTPy84U80bLa2e
ipLvyhrjN9ip8Byr+HCcLjo7eWtH6minZybIY8JNYHI0i1aysEtrwqkmWsDXAw+RzQD10Ew9RZVs
L3pT7FCxxRcp6TmrpGJWYqJK1tZcPpkAUI+rE1oF8F0BT8AUhn8GKPJtUn3/Wos5PKRIWkbWjCC4
ycsNpLEV8+mvPGUy0QmeW+UUXZgiooem4Ts2FP5uz1ybcHS/wlW8re300FJfyemMpG6mvNTaHyel
zmR6CdvmKSZoCrG6tdfADe2q1Lxhv5NvI8Gngj7yQEYf+HJEuYu05+UedxOhLFjgRylruexYhb0/
3uEwJW/ykyAZ6UYuBbal3SADZt6S76DU3H2UKeDncryKyXDBJtuEFS6HDR6fha+Z2boQ9ZMK9PbC
rGF3l0G6rmHCoTxnMB5nOvIwMVVh6i4mkxkV0fya2WS4ahwsdyOaLLICG209KDP/ysErB87SP2vl
28ETEGHzLbDb5+qKiGj+I2hYZ8eZOBplIUbiyWrAJsUXTJnFAdS9DfhhBqWVW/wSZ9w0ku3tNLyA
LurKDQlXaCGSLNoXroq42SxZfhr0QIxh/rxcV/SEHwV2hU/VMuGw++spTKatDsgW6g8PUo4wOMMU
yCVlOjPNpodqvBgKBl3tMvGkJcMqk9RxBKL5VncpKOTbbeL6KcIvurA5YFyyC0JsHfAHK8BPm+P8
m8rZkTxCuPOJQOxJnNquwii2lmtc7XKBIGRUmx0fkD0nF5bFr9YqphsyqJPVsRzuojhdd0OdXCp+
Oj2g3C12dsbXrYcUV+qYHI5jJW+zQ+yEb/k83vtqPLFg1MDWex61XG18l3kxafkEwNMlYIsIhALZ
pBLzhynUaDmwNDX8Ql2ZA0Xr54B3W0f7IeKpcvBJfY6cPq6qcJeWQGVZTqo9s2R1DnSOSJ4Bunpj
ZhbnuOG46sSM4acbnHVRkK0Uc9S7KJphwpsaggusyzk4hODHJDvCiDYYmPpFC55669ohpcYYvRVV
8eTXebsZ2Vm9Km4y3+kkfJ2DriPYpyRzL6+CLfucCMiTEE/QpCO0DFNORaxHq5BcWZxoM4LYtNog
TmSlLQJZGpR94dVmaF+LDvDXME/a0hiwXyZTVXiO3MAloTzJmOu9LkJjYxsjAQxucOiUdFzFttYs
+wRfmDbM2J0GdT6faz4ngJ4HR27zCptwxJCwvhXLe7MxzSHcQdeu9uTLJysJBADlkBIOYGTqsukI
PhjTwKBGqVD2ZKQm5BNPrNfq3/FMwdb2oBtFlac7KHZkONocMLrVU+pm9sLtSujWOmZf8GBQKRy9
2ZaixpUBLp/Lx/yxlj9miI6/jVNrEQnRberOPCNl4meQBsPvBG/ZLqscfzWMfrhkA/Va2jKLY3rt
yBlb4J5k0sLTja2559wZUueS0VATykn8N5I5GPVGgYXd1yKLmEqdBDXiFvQGGFyPdYPi+VoZCAqt
mQDoSG8Ccp7XTsA7DcJLZajPo4L51+iHB6EOZzXS94UTZZCjXOV3aTH47EFL1qTlaeukU17Mllk3
roTutbNxE+A3g/CoAt7VEw6emDLVuGtWdSSUXQWqVCI2+GrlzmdOcPyqM9NS1EVvYizcTQheGsAn
M02Rh9MDMZKVfMMzpC9WINCw/tsQK0TaCif9AarSIPhRfepR7fJcmqccrjZYwKp+DWYcGqzE3Xq2
7HabFBTBBF7O9E6pmFT2cMkiVjQmLjmPG0pyIfMSqoDJQRVmu1Z6DBJdWfOv5I7edCnubJ3P1Ckp
ZHJV3Oijg28wjyAmZIxbULLokQJ3awzDAZo0eLC8v0HPpKx9jMTkIfZMmiwF8nfKcAhB92HbWIJt
Iav1gmzSQyfCA9CBJ5UjomVvqjfNDLC3VQn8HMJmPDsGsEQqkT6lHVxDoia4UfxkA1lt1N7EZqRq
9UOnJM8xa5p0WlTa5J4NqOIW2oC/NR74NQ5VFfHhLdW1nE7nNpsvUeEnq95py81gOveEMxxoO19Q
YIzXMxFmVIH6ZVlT1yjCvYBTb7FvdCLM7wMgBZwQrjase42cGLwA3GtUW3uCmMNrtRblc6Ty7HPK
5LXMsEgNRlgJvGiHX5wo5pFnmqUESoQoOX5A/a7PAyUa7rOK/L22ZrhpsnkVBdNySJJwOTnMa35D
nZMg/9oreO+ldUlO0hkVX98TdGc27czNUmNqOCy3eQTADWvALg3E1le7xhMuGR5K+Max4lNdsw41
8KwDeGBwE1jR25FNmCx3KjlWA4bJ3jcguAbUBGyutXWsT8oasjDhD3LNzKcizRZy1zKPNIhQQiWr
Lqifioylh1DN4Soo+aTIieNlwyPatt3kn010JrGlp+NVYrXJbdWBNcxUIk4DYlJQAFHdsaMn9JEx
WbdFfhH1hJG4xuSsAseFnlpymVRjDI+hPv/MdDv8VUcjKYo2f8BxO3MJyS1YdgqjySVM9wX9HH+l
zt5g9aiHzO/zC3z0h+PoZ78J8SiOztisvtGE4K5S69YZYfu5GgBSlsnGZ+WKS+W3bFSZBjjsLnD7
SxO04wKlA2ugjC/pCq1fNtRQTApBeVO7ALKN1oW8IJR4qcFEmiKmMZqRCbhFjfRaaLZKhzW4L8vz
SZvntQHHGIahQ71q8DoiRbtK6z4jJ4SMHSUcxIo0a3fDaGeJ63hFfW7cHNdeV/KOQsO//3rjL3sU
p9t+JJhSHYNmzlJPOmWd1qllWADeAv+j4HpP34yWm7YbMmVq07iJAsbf15c0P+toWI6lqQgRLdgY
sqPz14kQUFC7xwoJ7Ctnn5vo9IjNtn2qSvqQsZrNG059CcDpGFjtnALi0siMHpLyh1k9OlV5rzqR
YNpgby0rm85WlTVZhfdJH1yr2ohHh+DYnZbW4FkGNV+WQ39tZRLK5bTU3G3wcOydHrdlyAx+RW0W
vlljS5JDa92IZM6B++GM1shQBkY8ZhejAt/R7GUdbLPtakk0YosGAEhpTco9BcL8cd/XIUC67Zxf
seLX5zk2LRzdsvAMZXgP2+yVGTi+lwjxnU1GfNa9cXXOJkjPohFxqiiI0wiPMx/n1m/Yxjr24J81
hClBwaTOgyb7IzrO9RwdkJ/EFw63yf3mtX7Sh5OgaCLxkHrKA4z3bxWFTWVGWtJtY7sxFo02h7um
pjQLrUr6nuIaJGuvkiiETfPrASU+6VzSMUABji4OScqpop3JRHRR4sK8gv+5MFlHVmjxxG3EGfEK
dkj5s1Njfw3IC2KlGV8XfdbfuaW2nfRRPH39Y+RtnnxQ9EfxpXA8oSImOH0Meauy3STJuQGFuU6r
yQE8xf8l0uJ+bOp+AQx5WOVDne6ioM92X1/9k09L2iwQS8Hrl0dZ719Cxh3qLYFA2wrs2CqhobPE
Dt18cwj0yaRBl1kzLcxZnxxTsZpqJqdkyHhFZCw74ECrOh5/Elm1b9z0eWrT6Jsris9uTDdhF0rj
FN39kxur8jqgLMnabRDFzbnf0jCPWqP2+D5p5QzOfcjySf473TMZQpWN6QT6SZREuQAQS/vo15z+
+PpZy2Pb0zfNOSKZcow8msAnU2epkCHlqiUDPol/FqU5/f5T/CYxNV46Vt+4qz4cpHMFNPq2Qdf/
v5k7k+a2lSxt/5WO2uMG5iGiqxckCJIiNVmSZWuDkC0bM5DIxPzr+4GqqsOSb199tfmiF3WjFDJF
EkBmnvOed2CMTmP+9t72pqe5cV2ovZ95q9d+gEOcU++aGPcknaoZ3r77TFrbg9CrY6l7DzLDi3bI
xsveLF46H3ujxcmWj6iAK77+9jIgMEOnwKPOOoPR9PZjWf4k5gSZNV7RAzhNSfHstqz7Xq85Mk0T
6Q8+Y4Bkj1YnRKQabpGWVkC6xGsZcgKYoo7DG8NEYt3UpI9B2MV0S24Q937Hk84htDJcbEqQzjta
yro1qXEQPQsk3n2+07pkh91DvvXwR8fbzQ8RktJtu3qCeVmJ5crqu6KstbfWdXNTxnVFAoaGidAK
Za1ju9dTJl90efzrJ+SVkvb22qyTZGzbLTgjvvt+nhsYw9TRGIp9EtMuzA72Hh6hAmR3VeBiHmnM
M1k9QAcVTkfDoL9+TaDVLakjDQWhB1Qbc+wsuSwuhN6Ta6ozJRrWupmw+gUL/GS5BJIoNojxzU1S
fXhavxL63n8HEutWByuIImjU3t5fsAw2XUmxSVGqcCv0tRBMDTtqT37pTafZpG51xpdO7oxV3KWV
WSQxQvjgdFkX0/tPAdneNU0m97pnv3vKMOmwxOAl7V7M8gLzYFAbnoSsHtwP3sj8fadhdEherceE
FwvV9zsNU5C4NUln38c1qGBOEWLMxRK1Xlf/LBeS8DwPVAoNKl3R1DebupB8mD6YtzFEq3AU6TeT
Fj4bmTd5Ff1eQQv4GlfXrD0jrpvfwLfP2N4AnGJad9Biepe/fvD+7KYxwGMA6rwK8N5Pjms6VxMF
ltgj5TdCs8RfBTM+sa0UVScicvxuxv5l7ZdeY+bw3vk5V/4HO9bvG6QHLYJ5IpqMVTT37p6htVGe
MAyx1+3mhxXMUMJMFwS5JDZwnD96N/P3GgjRBxmhzH3h8kI1evug4sMK8d81BfNLgscK0ZAfxVhy
UWayDQi6B8CloF46hhwkhCbXFYb6zdQUl25FcW/ryTfhG/MldnlYDNF4bwobE08bTz6U9Gq4xITg
AxHJ7+conxizXqpTuLTQSN5+YulMXqUmlpanzdke+UoXQvYqdr1O/wSMStaiXn4wtPyT6pt3Y2Kg
IyRg236/knDF8rFXN5t9nANs4ktr04hP5jnH6OuQVh14alJXdLT9UQFPnSDJ3r5ihuDt2g6bQT3M
aiAEIh9U2BW42fMAGBdAK0bUUloKixYzJf8ztJzui7nQTbxiIrVB42Qyfo46b93NMge8dh2/2Gaf
3RZ0VLgIWenBRn+/TwqVbjPS40viCfHPYKgnDExb0Q1hu+atlXU8BnuML3GVpYubRnCS19lGU9r6
hpnb97UTdrOOt5t0JhTxk4VqnhgLNUbLwmP41yvuT7cN18KCi4sLj9R+Xw34S5ZKm20jmTsyuyrG
mAa9RGQ6drcBWG44A2lys8D8BmwOmu1wo+sRL/+xNzEmwWf+wpvBiF73+socGY3OmQAzVcIJEYR+
fR1t2sII4PxU8qJi3H2V5tyEv/4m60P3dqeFf0h1AZsJSiek23cPZWIzgpWe2tceh3E/jcSieOuS
sFMykWRQbQN/qb7iSuaFBJQUH5yZ9u/778rGczDEpTk0jPcUisCfimDElmivl0zRGlNON0YB3u+X
a+5LGxAUJhySd6y0OOJvpoeFzQmJO4lgU+b/4fbfhr3uVWGy8JhydjFRIk4hdGf7STf6C/Lav2gK
8PV1/gC0YWjgfPGU79I4JVBUrNMAB5A9B5Tc69WK8U0rnLuI7Fa2o/1ZL51Q6MFZDvj7IuNzonnl
vFRJ8JP/rZk7mv6DxN9yX/sQbApcnj6oh/+ksvBhXhOsjgieU9ldr+KvPTSzujoficxrGVK8Dggq
ex0JG0yERMYyRF5JGFqxYEFT6BsywsF9ss8MD8jzWMcw+G5AnJIBKUKjfluu+1vr3ts5ZtJxJ77W
TPTDZGYW4enVvP/rR+z3fc83YZ5CbIU+FfzWI/Ud4UnkxTZ7/C72Rsx8cd0qihk48hWNKuPqg13v
t+LZ45miPqUpw7+Fg339SL9cr9TAW08W4BxA2wKnwY4gkHVy/zqLUa+3t2coNLC/wOSANNKvY8Ch
I7jNaqZ+J1tZ7BzILBuoGh9tHu8PytcPh1eDxXpbWUPr73/5cO6MA6RW1MSSpC0YneQz4MTEFID7
VK5X5a8v/5+83brEYSpZBs3Eb8dOIcghSAhVG531qSXtddYoqGzFs0Pv+BHe8yqL/nVH8djj2FFW
DwpGI3SOb79eitm5u8gs3adp6pwDnJfYC6UXTnYQMWrCImhEk7vDnYYzgzL0kDljfDCINbuyG9t7
HO0quMmH/uBa/bVyMTZs3Q576XFodyNrNATqUKfSF/U+GGccY7o6O9dIe2GrVEw38USOVMYfzwaM
95hd3+IUlx/zvjYi5JttqDVmFeaYNR7oYex0izXWGNqJk29JpRyOUzxGIJLtTiatvSeFz7qAy6Ex
USmu1azbmCJ61t4jcGRjE718dluN3KW8SK5r+uRowSs3LIk2C/uUX6Sm9s0QgKnG2Pa3M4VaVJVx
jn0lnVrcDEQzIyMGEZTA6hlz6rAuKuti5S7DAyuCPHSrto5qYWMzlEtsVSu7xjtWiy1MgVr/gJVq
dsaQGpdV7U509jW+72aogQ6ffFdbwGIW46kfA2vfeYXzwUJ7Jfq/vdkoqWBimbSr0PDIa3/zLGPe
KQOt5JSHQYFP79r34N7Hl1A6k21qKZwq9WvRtvU+FiP+lcts70yx3kAcnUIsboiCyXvqeo98pDAr
0++lmVuRD/UQ09oRN1oeoN2s+XmIZQyD8FrWEUOENSqAq+1bi3aPW659DtY/T5rQdZea9w4iw+2I
L8AucDAr6rGjP5j4RHyA/rw/vKD9saBYwdQxbDT6u0ednRPNeVv4USqXvSRKG4jog9X7fvN8fQtv
1X4Gumv8lvNOF+YABCQ+hIFchM0AFjrIgTZD4BamOqvl2uDZ+9dbxvuigDdl70RECcK+bhvvdqhE
893cTaUX4UjQ7hh+ya1YsNoeEpK2fYuRnmY56thIHUP8rlAfwFq/4ZtYBawFskkBD7gJ4vL2qSKq
qxzyqvGi3hUac/lccbetJSSilzeMnYBY3M7fs9vdAzsUezxoh4e/vgSvDLg3T/b6GcCrcbPwIf2u
BPFfd2mWjfRMqblR7hZaOMytOlS2JWnEdbVs5IDuBetl9YznW3zFhbSvmgnWad2Z/p1GIk2YDp7c
qtHOox4Dni+6MrmULQF1RHNGVZHKTyPpXEdHenydLvXOSKvcsyfG9rOZwErAz9TI9mPQ3VheIjbp
oJUfFF+vthxvviMFLNIh3FEtUGTO5rffcc461245QqOeVXUeLUk0rUiMbTAg03j9EkGfljf6mHhn
lfILBo/xNlj0JSSqMt8ulGChBRaxtcgzOgRJumZV5RrrWldHLFZ/CrgYB21woZD5wxJmiXVbmJW1
EzIbLpYlVQfcDCUMgMXfu5M3MNVWO+ygc9gcbrsr3W6B4dOsM/ZaI2LPXEJJFkYi0ikqZKuuJl4Z
CXeAYpEmn2bSQYnLGcubeRGfF5lbbEL9hTOSUrDYuN4mbTpcmpnXrfnGL3/9yFi/nbRcThBxOJUe
ULD1vtcSmIdhzgZBIykk2Emvya2XE3KUjHdVZcdbq7eNaOkMe5O5M7HvIF7bHKetQ+ETgKvhFrUl
vNnYlgHLLK+H9NQWif7czuSY6UuwnPgr7nnA042JsF0fAJL6DRfdJUl5+L7kIsDxPNaxpoWy53TK
jlqzrSH1mXLVaH3uscSMhkm7rwCkw2KR/3ZlszZEhmeD3LJ4fqts5ilLGbRxAYbS+Qll3r9Zb7js
Rb4djWT4AIv0ftt+bR37LmhWwJGojd4zcqsewEXvMcfv4QSR1qaCL7Cj0pPAA3irL9UUWXqcX6Vu
l55MX7JqJTWEMRpLOA0tZahPUiTzqcchiM9j4l7GC66CBlSVyb0gwq8J25mHc8jhbfJvt4LCJtQC
Li4xZXFojjyS1J4/G9Uut2YDI81ol+GH0TTq0FvcSEFnc86V7u7IGE6iFF73A07m8hNT6zg0zHS4
FVm2bG0TsgF20+A07kJwlUZ9DiMpODJWvO0QeRzwvOTxX4L+ssJu6yyRCFyOOnsLJhhFRHxEHDKD
W5MwquHBmRMshQf2Si3FPXnrmF4eEbDLo9Rp+ZWpN7oNQKQ/WbFXwvMwmMmmaaNFgazATocEo2gu
5Cb1DMJqATQoowDJPnJH+5PlwkMCoLCSqtet/u3uo4ixLqoEaqdPfAcLgesnhcMO29hN6DlN/kEX
9erS8Xa7M0CEOE9IRuJ4Md5td3nWzS7fw4mMgdLSR0HzZE4YJFFSsUGp3jd3feN3+26ctMjSKg2a
WJsSk9z5h9nORJinMW5qZVM9YDsM+SjjUCgW5RQbn9iCyBwF26bLxZdQN0NdsoPNHd/DyPx8S+g8
hoSy30/EQcJ0se/Gwfpiawj358C7i9PshU683whGmaeq07wDsrnhMiEU8qaj2yHaAcP/YCgBi/DW
DKtxwkAV5GpvM5COGJuzDQ+85RTgc/rXW9vvt4oR36vQHCsCz3nfpbtFDTN4aZyorIhSGgTvB20u
OMI58g/p4rQfvJ/xe2FJ24aTHR0vNHXPC96VID70ttbEzjSCx2TtshlmKAGjLumlDKJqInpOU2Bn
u0S5kWh6eZCKG+JiU7BrKi6vN9aMAkaMR0nryLdBz0GFu2Yc6o0tISVgSiNavkrmNvJTpdiunXo9
3J01sBWDzRunbp7n9UYltUOivMl6dY3yGf4iiSMurNC8ybQwAZu8b3wOu8X1L0uM6iOmDD9bsirD
hejcwiufzZTPrundFM1+vJzAtcyd0U8AK428VwvbhKGx878eraKg1JJ+kn6BUWYhkoRwb0DyhSPC
RhTgrbpPWb2nJi3109jhoNu462laFZDBBXVJkXHO9BXBC/q6zc0mW6+s+vlbvfAEFQNbxNLygBZS
qgPMYs6eggdbFaL9nGWFFnHd8NGUfCDhYT0N4kK0pJYyBZjb6Z+/LdkqsrnXIumt8e4NzJCQiL+W
YM2czMb11M1TUx3tjCQ7Sc0DO2ykHuimhYs4qWPa6f4lIQcB6DA/Bl3iHxRpmnjG8k/0hAqiJiM5
VOT9beF8d3uZKHmVGbCI6i5uWHl8TQ1P7auBqJVQDIba9XPj7tEoBUezyrh2pePvy8V9cGfvO6HO
Bpb8tnlkYxvOaGqsHZs/T7Ez+/uhLSlZsjX6Yt0pA5fLB9OUdyBoMBQBlU5acf2xHe1o2rkdr6vr
35J0/rlYE0H294YZR4Y5+3/9r6rP/4OSTvR65i9bTPjcPf/Hj7pjh716rn78/W+kSz7LX5Wb/3jB
P2Sbvv8Hqkg8CxFGM99nr/6XbNO3/qBU5dRbt3Ek0yt2UjeyS//+N9P7A00myLoB5gDctLp6/isO
z/6DV7jUt0xIXnWg/45sE187DqZfzhGc2lb/kBXgQIDEn+Sb/toatKwiVQeVtRexYd/nEI3Cfk7r
iwnhZjjkU88TVX1Nsf3aTHhrfM1IhueZc3pMF/mPTcib4V6mjV085ikpbTDq3EtwJi+mZu7gByqT
qnVln7mP5jKSqj7CYTrHRbryiru2PhYk5+yxHl8e4Wg0P5fG6x5TSHk1ehazu3Y9DMx1f80hV7q2
tdumiEbdJygCDPNTr4iXtlXdXMwGI5tNUHfHZJg9vNXJMXjU3MW0T6JT+SkvA/glGVFQ90UWL/qR
7UU76TlvtHXsfFhzdwcXW+AqfpgaYl8rR3NObgAFtM1EV8JM9IsMPHbOPscEtzyQ5r7S/q2Evw3Q
BlJf5oBsSbmYL0ESY9bkplVzIdWURM7gFleLmUt7k6s+O+tV7hE3gO5iQ2tYQXHH+utWgzIcbKo+
m2+DjHpoqLz6sibiiniioidw3hycqr9Ourn/aZSZ9olIJQYhJcmjz3TvhGOlWgz9VGlze5VOhUPa
Hob3IopRQbnbJB0K2IszPmOj00T9bCHprtsig+VeWJHoveZMK+wcc8NIlrCiYo0qLw8OZu/Ae56s
n+S0Mid1UwoEmGi2PID9IVSFU97726nTubtpH5gEV/hV9qTSvDjONk6nc6czPqfavnMa3YsGy5Iv
K9Ui42rAN+m13PouMEz/anSDe6GJPDk5qWpuXX82MQWq5WXh4GGwRWriaRHk9VzbTf0Aia3AwV/R
mbjORZ+4MzT6KbiWbS12LWh6snUau7qYB8pM0hnGC8ha+i0Rrd6J+I1xZ7i984Tlf0kX4XR3gCLp
eGjMXL/NFo1QaoBsxu65MwVXlHzpNUxbEs894lUvHelbZ6f1zKNurDb5cdzgZ64WwkxI+CI7j+h3
ck21IIeI1qNqKoJhOsejuoPpEj8FsoYnVtj2V09W7okpWkkylDRXloERXEE+Ro3ieDWzITG0pJfU
yheokgkeSjfUs94SGfE4EGCvFsyuSDCbN9aqKMjmQX7SKO6BnfKdPnKwY2rzJEQVh7HbVGHbDdrn
1pbTFmL9hT5x9Hk9x5Az29ddAT8X9CYiPJtgE2k/Usntqt5UUdN4IJCLl55t3R9fyqr9bmiyveIs
uWulIMhZxdsY+mAZEPjFrGoL83i8rtok9Bxhb43cHTZoIaOG1I7qOnZQc8FJ8yY3Gk2zQLVZER2R
2dO86Rq17Cd99jqYnLCwKT23o46P+jrRJFQRduwZHyt3xzIcHurAri81HZmvNKwG+KTr+1vSCskk
hjwqGbzpsBM3BDv5T0QeQB3v/E5j7NIl6Xfyi3U9ZDchQKXRly64wEQ8TfdWz8XZeE5JHFTtA75F
vMjRNw3xCTErYey18+hACt+OSIReMqvGVN+gbAZscngsumlvVI691wdb35GNYhwN6S3QTnV9XyU2
kczJEscPHpd22zPx3oygtJGfQEomtGNkNoMKGIgl7/pozvPlsoMadufncnnyjTUyAW75cKpMszla
XlzcxKYfRzpl3E+RjQQaktFrUh11+hyhdsHiytJGBicmsX61NfRfMQjSD23hkm4yLEV2IC66jfqm
SOgflGdeSoSjKEKC7BC0ifxim9LhcZhl2MYMqCusk3alXQ93eokQhuS/4sKr2rkNSSn39lCfO9ZD
om7AuBjV4LbVf0umukQ1GByWxDkZxOecO70ov0gzUackmQ79Umh3vWAol9d+8WkG5752lb5ck2pQ
7f26tm6gu4isO1bDMN/oXYakwbOGhyCwSIUXOMsx9fIIjCqEdqWrWhcni6fpehSyJGyOHR7+YGBc
2GP5NQ6C7qunFcXnNuubSy5zcUtinf1ERCCCj1bqEA7acogBoPv5nA4zk2aALBXmfWftRh9NlXJ8
8xKtOHHlY4y3ux30p5K4xG26DA5kkmE5SaZzRGWU3DoCYkvysarlLl46IAzCLotHP5gsgium7rpi
wnrhldXiUkUuYqvcPH9pi7Q/GgNJTptKc7K70k54ytb39rLMumFUYEZJVcwH0xDud2PEN9KNE7Y+
vzJn9KolUobSoFLlIK21s6dIEtvYSbkfRo57IdvIyA03mpdi/JQGCvvETmOyhSdmcSSwLNnHdspk
Mo7LRzj7y0Nn++Z5YRJEgKHXmhfCJsBuW6eoqekdXpgnFKFujMU3dE8t8rUmFw8TjqxoZCg96jBo
pXeehJ9fIg2Y4buztzpp9WypOuMxLvKr3JbJtSWUlWziJU6QDYxB8TSyn4ImpTpCrjmpm1ucfIzu
OLYZQn3gfHMzNVV/gerS/azaYniYcuNF9k2z7LNYaRsvKa1rL1DJD6/vkqh2CT/bzOYEQVphm8E0
Jph2sKvNz7n0xnuPreaZ/KaMTdfEl4w8ML22NzjmiAdvzssfpUXMPcEUZVhhEbwRVWd8JYbIdMkl
b63rriWjc2ITncCeVy1wfrEIZ/gSxMm3IFEHlpZ/guSYw0hgTkLwyKEmsYysR1LU82a8mNv4yoEJ
hkijRdNGzCS9qZjNu0KySA4EzjknFDLuHZl28UZTvbnP66A7+mlO0eEshfom8uqqmcmRMkgJOJpE
sO/bnMN000rmOCVSqbB2zPEWipai3tM5WisriHDnHB8aiPORseDaTxqBvCmR9jyA0Gt0pIGzKcra
3QpFkqXXONq9P3m7ycYRTuqmfzuibbqSY0K9Z2X5ozHPuBfSsu3IBRQvNalFe6Qe9S6h3DowuQTj
sggwRWvRvAzKpCdTC3qB0XXnO4lHw6HPOwoTUx3sRE/PadPPUTGk7VNQkww1GY3704NxvRWxcy1M
mZ0qjeO+Nlvj21zPQ7NZ03Npmwei8jbzoGWnEqsem0qS2Mo41sfzMudJFk6V5l4Bj7GRjFPzrRrk
Ks1T/onEuW4/Iiq9cWfqKIOhUOR1pHouuScu+zjQEDJAysON0d0wz36pcMa9yUR71ftWdzB0OA6z
oVEO4M6/8Wa3OLddjQlCP54pOrMwD2r7uhzM8kBMhLVpdM2OhMWs18vOsDG+oSx4gTdx7SWJiqqm
a0ZWcOZ9aoQQFnJT3YjSVjuxJwKfmmWeotFgX90081TDrQQrpowIWkJX3G6MrLnTPvmk6uhfR7H4
3sVAWsyepLKAew/95CdFVtNjPVEZnzmk2v00dsYPzxmT9mKpCNaDq1cELwhpDMBfyWmkkCTd0Z56
kJX75VJX2iXTM+cTxeR8QT5wurF0VZwVfFOqOfJ0Nj4OYvMWyo0iEls61n1ZGMmhUsAQdQnuMXb5
yXKEe8WOgP6rTaqzm5iDhKNgZV8ErzibFXzdLXXmciU7H9GQ0Fvva0llfYc9hTyzXp2e2qubI9nO
w22htdlIJB2wBhBVhwzNJfd3R36fHvp9YchwMuryboHD1+7EKJKvdZFWZ0sVC3aylelcWQ0VSlGA
4mwoVitzkyZuc1OYneNuVaVid6OcEfATlVOy7JJFb5DKxSJ91IvUOEkhGE2nuq1dJB4lho3apSFU
72pgEFmGnaouzcH1bv1Et+G4oczztsQ3Vy/+nBnfEtH7l25QeF/71OiP0Iw1xDVuVjTbCpeLdBvX
cT/Bu8T8JqyJxWIoLEB24gVusSKhriOlVc67CYbuxusaP7JbcgeLoAyxG5MFcu/A2OJEJvfsWs9D
RjR5YPYN0jg73TObrrbg4PvUTG7M1vnZGkNyiOtGOxKbovCD1o7oMA62k10tzRhsBldUYUnGyp0+
Sm2H9Dfbxw4xzoWOHrC00U6sLYbnVQcuBCKyJqobakM+yYXr1D+x/yuZrSCDcCfSQAsKblrkYpOV
gRYGTUogz1iioUjuu3QhSqpMHjTKjg3t4BjJvLumO68J+PEvLZMBeaVrxG4AWNGMfGPQfC6cPCSb
jJSmIONs0JOnrjFPiU5r5ihJdE/vueBd7bwpGiSb5K0vhKYYkPPdeAnjrLJCqx46/A16PudQq60b
jA1aOMkw3AyRDj0TUMZgPz0gQUzDxq6vF7SzN6NVNTs31ZdL1p69F1YchBw9xmYcZzQz9E3WRV6r
5FOMcdLejknNTtqh35GF0ReEN7ro1URtRQt2mRSl2jzsJ8OJb+fYMWJsBcg33WpB77dwtjp5duce
EWVfcn19SXB1MZG3u1j2cLA1L/7cG2b/RZGVDh6UljQsOQoLIs9nT4SLOQy3ZJpV6c5NBHFtdjU9
d1YSn/DfHh2itsWGgsb5koyiT3ad5gTgwgsNzgUYYvbJFQkm4UzqloOYdPTZRaA/JrUq7zo9EaiF
JMPKvVaU6gK4tKMG9ZVkyxvEo038ojXzKOqdf991hXNigyERK2OyNJXtM0Qm3Cvc0d11E1AoLLqd
MPThhzn3qUl1qvtXSW/5B3qsumPJCTj9jES3kznDrG5kPDyxsrJt5oiMlLsq3Vfu5AJjc1Q7qKSP
IJzJRU6g4qED4dRxCTCCHa5J4mQk7PnsQvr4OXGK8mtTBtk+c7u+RjKlvAefwsUmH7sqpw15i/9k
l/1/A9bewG/7H82KXan/fAO3/dfbH9U/fk5+NCvk9eaH3Sv8ddv/kPOnH6ovu39Zh63/8v/1l/8E
0e5nAYj2/FJldZipTmbfuzdgGnAX8Nf/bqd2/1xl5X9cPb/0f/Kyf4Jw+h9AbBbOqIGD/attQe0Y
f6ju73/z3D8QZTCzgcGEbzSJD/8DwuGdRllK/4c+B8cwRnP/A8L5f+iQVngVWgb4frAZ/h0Q7h1D
wV7HRrgl4k3Nu60o4VsITraW3/MQyl2WiBsDKjY8l/aJAX2yhRe6gbBzYatpOfSQWje/XKmbf+B8
vzrvYhL6Dv+DaI30EWYTFu1ob94bMq/6sHz0RInKR1sOcecmSMPSeSsnRV5XTw++lLl5ztSQIr3V
s3PXGPp31NfJLhBTWu1SWMkjSWl4tgxErEJLm5xTLRfEEUR8XcCpqUH/VHBpZRhv9ZKy7BC7SzIf
Yl2gshfe7QBNsLgUFerV1nXvrdSixUkQeA7e0rDVTKNxbTcGStDeVZdJVrFdZQXyXqdbotK1BDHn
pbKuPDwR7w29VTNFubXcyjkxz/Qa2r232NPW9ZvgerQSIgQ8y75MKBP2mabND8y+7F3rxSWRddOy
mk/0e5Oi+BRgkbN3smw6LjQK1naSGrUcXbRWHGxaoLOHcwwcS2w1x6MGTGOd2ljDvMv2rBi9T0Bd
rMVusW3Q+Dz5sZ1b28IU5id0UJCG1SvM0mlcNWXNh3nI1blLJCJgZLTVbWUlw48qnvWvta0Q4+mO
Vs/Mgmteirh3/DImnP8bzR+rO6yOHnuMr3ZDbKYc393Jr+1TQH7lIckZjwzSz/Z5qz25vR5c6r09
uWHZT+2m7OkfsE/L++zk5tbUHZg1T1c9dhLcrKI4Df5U7cvULfYm7qz9Nifv4lzjaHVMURkfrCEd
7xOrIQATaCDMJEYTSuFFs/TcbmUU+jMdg75zawFAFHjVtC+0gADrdjwHRbay3aW4tLQC9yYPOS9G
AOhoqL0P2JXkO4zyAyecut44zxnCyW21xr7LfIxFhIyJ2y9RXSLxt48JiZsbIiuZ2NtQK9iY1aOb
GP6jVxQ6ubIIdiewB/ATBKrrc95hBr1tMVq8JMc3uB/wL9ykVd+Fo2rUztJf3VoCUrUhWkwb7qC6
R/Ve4kMBHHrnJyowwgGlmYHeBXplGhZNa/Srz8n4lPu9ZcDl8E2dS6zD6y3UkLFajBGgx14WPCCs
NackqhiaX/m1Z32r7bj7pFs1qKyX41c21/58NzLX/kFai7zzRhU8dCTMtzgW9tpTnpnTOesr+95C
MWSEUzO13pWNOLTa1dPQkI9IKscYGZrWohdeeSgjBtjJZoKx3hy7IhlRlE8wBAaa13MuDYlunc58
v3jOzNlqUEoEi5t/U5Msb8YKcVib9OW9wrPpUDftkb7dOfjl+HOBFrup5DRGRW1ZPxPcHV5wKskP
c+Jkly3Y9XHBTiM0YugMXE5ruAJOxabCgSYe9pPRPbijGXzPYys+ruBlqAG9gXmOGNAnqnIOOBfl
bZgZSl0uBiGdM5r0RysuodX0o3GlN4vzjNyohj4BCEZIkbEb67H+VAPB3FGWGs/Ijdwbo1960gKJ
vZknXz3EOTTkclD6uZuS6kuaO+3nhgj5ByQaNkFnlLNCzF0cOsVQjFvqsHEvlCphVBPoqcBGMkN+
LzOzTk6pxVxvU+Wlbz+YTdaMO4dXfpELplD5nNJuIns82LPeLzsjdZrlYML0QDyVYULSuFRpCKrw
ZHSWCpV2LxkoJHqL7awzQQxVIMm0KfmQPfOkAZLWcUq9Rz59trr6shtDuyWeJS1W6oYnxrnG2KOv
dr0Hg5yUy7m6WCxmJFFr028RpWb6x7j1jSemHMFNL5fh2Ope/KgsU8IG0IZRC/Ma+HgXxwPLZsi0
+Dl1Z8g9cReMp2R2xs99XiNsi+m847DNC+a7bV6qrQH1dBcn2fRc55O4AiZV5kVa+cFu0Oav84gD
YDgDgO7rodTu6t4SP9p4Ho5qacj480yKXmreGoXPgH8K7Peq/sLDvyT4wQxTggKngAJaxNARNr3T
zvqmHQeXKGdkaQo8te2ol0dhfJ3EQOh9lxZGhBYGEMcFmvyq1aMCviiE/VjZQv/S4gq/1Uks/Z71
nbm17CUIg26RERisugb8DV6UtZCz205BvofvrdcbA4fLBWusuCGzdRqclaCZYeWFOzrDa8+6j+fJ
hR1ss+g3jd21hzmXfABQxgI4L11Gul/IGKSDF3lFs8jUWrBnMq/Dg2TOMLMrZirYOHH6amu61jJF
fjEKjXq18TXMbzh3fMtpPnP0xEkISOz12wZFzkORdcupIPQ54pbVW+biXWQTsnBuRcyBR9g93nBo
wi4gxql6U6ZEzqNfqeqbNlY9szCWg4Awt0W74NxAPk9ThveedZ0Pg3tl4F9KX2Ji0kkoM7vpkp6q
oB33KWIxucGFNa+3vmuTgh0IK/2EOYXhhhjAAMRRyuvrQtcoEjoglgQd2Es+Vzy3Pf4DGCwVgfop
Z92/xoDEaiB/QV6B8E0lFDRd+qWyif3y9aa7Jep2b3XudIPxQPAJBDP5bHQOFb45e9tY6n2FsZhJ
JlFdgW15gVw5f+m18hTLlohJ+6Fs2uH7MP83e2e23TaSbdsvQg50geaVYE9JFNXLLxiyZQd6BJpA
9/VnMqvqXqfrVHrU+3nJkem0RIIEImLvvdZcoEKSPG19DJdyRtmceOYSBZBuV44r2ttgSW4YYaEi
GNiQCbXbuWYNT8a3k6dhysa7YVH8cOI2OWQqw7ov0sK5A4ZDRTv6RvpAtCaAW7c3T0k8b5ayxLxZ
Fw8aNdPKqBcr4ky2TU1ZrTnAfnMHQ6xHrz3nswQqN1NouZni9fhBbzvEpX+kBVTvltyzo1KpZAuL
YcQ2T9P8Hk9FmDHst5xynSNUwjHuqZos9wDFZuiiP665qTgHcRD6UQ7Jcjd3AK4PqAWWB88meH6F
0otO9zjwhqiESrdd2TmmpLTT7XcNZ6rfuUHaf9NB0s7bEt9nshrobuz9wTZvaA0OdBiDAr9qVvpk
CxUkbILTsKBNHqrUgywzyoXTWl7q6tF15+bUzf2icda7XcCRT7AfKoBVr73o7NexMYuNL7HssIVO
aKh7xnUgPYIAsUzWmN63ReX+xW3j8cVaOFJClCIDU1KIOWBQOH1t2s6sn2khdRNSuYHnqZzD8L7p
1HKXg94kpdxn6G3E4d607ezsSC94A6TRmtFk6aLGhu5N6kAsLuDSnN4eXx4LOPiRsGBGw4ix/R7m
dgrfm8Ef1NMxmx+Z9YsES8Jku1E1Z6bYm1Pd3mhw4h396xo7VVaqH70veRmZWfj++V5c1tUuacEG
eS6LGOQ40d1g2SnGc4Wki+mWNHQVFXT6YHFIY2Y2YU5Btc4kdrGVQt3lQRsK0wIsherFVsyJ/Ti0
cWscdexLc5MN0O2OIcjBYHv1d90FVLBHPfiwhJLSxJrgeyCarNnF4hZnIR02qqIntYz2q5+Y3isP
dTYcLbd1TqWVTNfeaZazpOf+86zglpwmL0/oWqdjAzl/IqMHIUrYcmRVkzotVWF8BHTipnVsLD7m
N5Nj1Ga0qy6NMAh0w7Y3PY1kqOJxPSawUV4LpNMv7YwH/oYcLC84iH6Uh6JuNSr1xvhOsGp8zK/t
YyRCxLPP08hSXNMIf3NG10yoEoz+lW9b3brWkhXRUjr9QbCY7+OusE+LK1Eiibi/KWtAFJGIaxqs
XPpm5k3oaPLc6Y5ssyLB4yBjhFIcjwD9EOzy1Jt2o+Rv6rFf1eLwfu3wKry9xuMEBHRRjv4sx6hs
3esidftNbJl/BpB+pb/82FjqzQnLR1tUbKx+Eq45ZH7psmG5/H09+IsK9c+XRycOFEAgjiMx+q8v
T1ikXeYgRADmdcywFgWMZkiL38Sh/FnR/iw6uV4l7SwqTpPX+Tf87NwtA2AwVyPCB7unB61wlxuO
EezdhIT7KB8UPVY7rJJPxkuGjTy1AebDLGl8s6aZ3AQGUjc0GvuHPPVD8oSBOXiuad8Zo5rfbPs6
t8o9lB2afbG/B69Vx9s/P6r/68f8ph9jwb5hsEoT4z+3ZG6/y+Sj+Jg/fu7I/P8f/CfQ3oZATyoF
BZJlOyjz+ZX/aMoE4R8BciigA9Dp//l//qWM8v6Ar4siG5P7NU/uZ2WU+IPuiUAxRc0FuhwJ9b+6
Uv/shNDQ+o+pIP9AlP90kyLiNa/ZKhD3SWS7ZhP99VnQcdKTe+Iz1QtbV+5txuVXMtkytSsrTJPP
KS+KI0cQNgjhePrRteZAbjxOdcsWRa3z3GRZeah6j4my8vJhootpINIWYz+hLjIS5znsfACv42ie
S8MQ3KeMn53IxximmZm6SG+6GibnzpyBB92YRj0dZuyHBO3KRG6CmNzHToBOZ4hY9JQnlvEUWro5
BdrXb8qdiNHKOHWzlORRUwUPJl629eCYd6DZh1WIUJJKphvab03B0DLKnK5sIi5W3pgZNLJVy6p5
gxJHgZt0k2RFJxCF7lKUex8b0rmxU3sfiwDUoFic/ZzO6d52cThXxswxvSxm7zLSzHmi8RLsRisf
bxWA14gjH1oQFG4bB8Mgm3tIGHniRTaFuwL9H4z6Ia4n5TNSqx+s0FBBNGINhbtpgz64se04lUfq
u+HSDIU3o2utXXnTpH027uJgGBiijIXMUYM1k6QJERNkLw0Izqu5zvphK62ZHlExhIZ1WSwRzudW
Bl51sVzTkAhGGuIk84wkk0OCsX45aLP3smM8jKGzrrPYGjZak7a+pflRvAGGbMQlKNveZmzK9Jwj
NaLMyNZ2jihn6Qa9jb1u2Pm9mXxyepQ+R7cy3FWttl6o0CnspCnl1dD3IwynkzbG5t6uGLbX7axy
JmjGHvXK8OZ78BoSM75Hiu+tvGakdd5PJa21dlzTUUkvABXNrWeyVtYY8/DIC3PcdW7VfTrl4CNt
MhJ61gNC3XVRmzQlPBVgMMsgO85+7c3rMu2DR0Bw8w38W8T8UyquTVs695Af19q5HuuhAO7wACAe
8qtyjR9Zbsw0ONLaC0mAt5anuEqt7dDU4ujRUlolmbFLK8s8X9tHed11j8gpMNpbXnc2pBUDyBpl
ueqxlKyoLpjn1XXil6uGrUjuamMsbgQnkTW/q13PZVFyLnItZtuZmz5xt+pTzdgBx6Ndg86ETZmR
iUatBBNZr0tteRBapEYWOObnMIiH957vNl7JOra6iDbjzNx9nBg2LcY4rtsWlGNZ+i9TmpaXZq53
9QhZtAnN5aWk/v4UNsqxNvDVY6lhx/iJzvjcM8QXmWze/bB3D7RS9a3q5++11opKZLbLTTDF/R6Y
VLb1kBrnb8oYvcexnq08spLc/0KfAeGvWXruYSwGYzsRUrZObeVsPMPWGzE0ems2bbNbQn+klSWI
+LKcfFtMmRmhmyj2DMiOZtl7rDDlRI6aqd9is0N61sniXoZOc+xUVh2bOQnP0mniD2yoYPn/b1v8
c9jxm20ReMfVaPh3u+JOZx/tx1+GG//vp/6xJfruH6ADiK70KPZsblp+3z+2RC/4gxgiyk5Mmpxj
nKuM+F9bovsHrDfxzyEF+yY/9C+xsPmHdeXj4YyDPkOl7f43W+Kvh0N2Qvpe5jUR3QK17/9CcQrt
dPC6AsFHL5IiWS0oSV8TprT/HXvFpej3XPrHHnFVNtf1y8t06GMyOB7exkP4+mUwjWBLPS5bLO35
sJOlGn7j6beuO/lPO/2fr+jBPWMWgnUQ58Vfd/qwXHJkALG38a0p5HEtzSKJqNDLKyrIASLhlekj
e2q27+PgQY9maKwafupLNTvWzmzC7Nh5iXO0Gsj49kI8cTgX4y0dx+XGmnL1G6+YdS0Cfn2/fOVI
tjHS+vjh//p+M5YPFix0tdDgy88RbGqEuJZ/5vR26N3F6Aml742onevPFl3jp56C8QUXGLEiunZ/
SDqZz1U99Uc5LfWPn27qf56kfp4p/WmK/7e3d5W2Wy4zNzvgfvy5hvHDxiSNYPY22lLubbpY+cS8
tXbWfjcmpxmVHughi85E0TvTBv6XJCAGASbvGQPOhG3enmV5nifsSpYiOti4TBJ58ypGeIL6tRny
d1Lkgt0Qu+19Udv1Vy2tfMcOqB7+/lr+ZN79ei3oIojZchygD9fB4c/XQlD6aPbaERulCzpBouUk
Mk22XKNjS45jm+o8KnH/bAzAzZ8VSc7xqiirMF9VZS/29A6Ni56m/t1zB8dYWddwm9wQbxMaoq4T
t36Lwb3yU6JtCgPXvaOHQ1/TcWtl9q5EQwkbi7dQ9M5dbyC2q+YzopBhr2avPOQtSFmrrJob14gX
tbKTkQmKnbKlJiUnBEQW/kbPgYsyaHRuW8X5I/BQqKws7aiTAHZ222eMmVYJq9GpLc1xXmW2gVul
BnL79vef5Z8P7i+fJdo54eJacIDPeb88ZgpiUC6InN5YsVOeazAgHHlG8ybA9gUe6YeRjdOZRiAd
unIKknKvW2YLXlO0X13V9LeNHOGN2o3tH2BDF2vfaOhpVZVvRQg71H2d4FUckEJPJ6nK+TNkMoCk
NK5PBNQY2B5zeaMWT0pI5SlNOWlON0Gus21PQsZvbhxW1n97Rnkyr1sC42bBo/DXG0cFphr860PQ
5c1wJ0tbx9eP1j0olvV74r3DbUNdBGe4YFDZBPLkKA5rK/JR1d5a3OAZJf78HTGd+e3vv4frx/zL
10CGCjkpfANATK7D9Z9v6UJy+i7EKJCx2iJy2voH+tYD1vdp7U/Db0KM/5ePgWYCo3Km6IHFkv7X
F6vZH0aQ92KDPdx/M9EWXp/i7Dc0qv9lQfzLq/zylBYB9OPOacUmd9L0u1l39c2sK2ZSEGHn7d9/
fL9O6/nkrsP68LqjBoQP/vLxcUvSkOXEv6kw8p5wVi6fuLu9G9pi5oNNQj2bBgOnmmO7Wd2HVfxf
Bmlfv7prtjUFMOu/y7/+8pEaI4L+RIhN0fvDCygONPvx4v9mF7Z/gTW4tJ84OMBtZAnHJOT/okqw
WXKDuci8DRDrB3UlkZXmvMvS4TKVT3WYnqfKiZxp/JzGOcJZb5wXq0Abv9SMr5xxXodaYwJIXGwc
yLN3vkRXJqaHzlZNlM+JuVEpph6T2SCVKg4KJ1xajKDNdxSZ/ziU/sdi/tf7A+oBWXfslTBcrueq
qwnqJ0rN4i7YVDh2b2ik1RFq7WDlzRDvFq821n9/e/zbx4YY5LrxoRXEviV+ze9KlphQa3q9ZNd4
8hjPCHZ9c7nip6pi6+B22fNRh7950WsiJZfw81MNs4T1huMSKyvalF+/rhEpol0SWrKhR/YkEAdu
HBm0DOWn8c1pasbNmBUfDJkeWjlSpVRMCcfZ/sikbUEzT06cfagBA3/lxN59p5jLsrg1u7RVu6Kv
FGEt6Tsk3vd6sHapOdYrZOLoFsqYln/RY5YYpwNjUszYfmfeh96Igr6kWkznRK6u49xVas7mtrVi
cRvUMT0DgPTKNgpw4yOShZixkKPKC0A/8ktgqvEAPcx+HrHoH3I3eJRhrc8LnFC1fOLk7M7VUgpk
zEK+dbWhz0aT2dsx6+Q6XjJrBa2/XLWdn+2K1KsYpjRF9k7QEoNynVZJFE7d8GkXYbtzExrbq7J3
3PcptYNtaJZPSg33bbBjmoyGWFrf4hRKpIhLtCyGLL9gK04XslVEuxVNDg0tDRX6NOBeNhHJdy7D
0Htr8nBY21kDTi1z2XNbbX/vnDy4pbrstqklLeSEOR2h0BrizTJ6gL9idqkvSKTHTdpVE0FRc6QK
7xG1Wr3uG6eUq0pr0p3xcs+n1kncS5wMDYYA9J30U8J62tdJtezswkFl86Rxg82Tu+5nO/wxj6gf
R/3UDPo7uaGQlW28dM4CMi8MhtcyoUAkymXb4Ui5jRFRv9DBci5D3oLvmVUNqnMucLiFCxw3p7mU
4fIyScSpQ+67+161Le4vaRSrPJg8jMD9cG5RA+2spRD3mFzKT1Tb3Vm3mLNJuJA/gqEPd8yBu73Z
kFTdFYH1VjWqeB1TZ4cpo+63Kczy+xq0FRO/giCMCR24iEq7mde0v+fnQi79xYln/azsDFqa0c5P
RhKrnaqN/M5QjdzTsDMecg5adzprkiijibi2mtLnlT11F2P02uTjZG40roIPI7baA9N4cYfkr1kn
fHv7JSv7S6KLr+3gz6TtcIUjWpwdYsJ7U7q7pX4yLQuYDFJ25ti3MUbiXYas6lBbef0tjq3kqTa5
JRtHpxzAA2uNP8I6kg61rHum1Wt4GEi2Uadc/GZM7sC24xwmRiCq57b6gSV72hqDOx9LRdetEsH3
pBHvlWnG2CstAoFWrZ1Or37n1wjlR3o5M32axMHhoLtkOQQjGRe6la+t6l5ViCh81Qur/VrAnXwh
cdkDHtWUu9CZ6w0zYhszwMjwqWzFmt6nt89aVWxbg+6mQEIQASaoXty2Mm5T3tUa0wB/Oa8eWGGn
fVM248HqHW/D35I72x9vIFB+d4SEkjQhZMhCCIaV6UxRhv14ZxNw8TjQ8dwME12PHCzTOQYEsbFq
gqYc3N5dIOqHoh29s9CsCjyDy9p10oGIYXG/KNO56KTkO0GyXK3RbOija3UjD1WfbJNwRLYBKW6y
a3UDwCQhN8vDfTWTviHiJXnuHQiaTMyWk2k2XGDddNEsWB2Zg89sEE25ElaSfXSaiQNCiPEuXeLi
IuA0YcoySuInyQZLimwn3PQd2Va3lYzA165R4JA1sXMN4bCejDK7Q0OO5YT0k2/MCfVqDJps3YRw
pdJc0vAzyhDbC6Wdt3VK98WJGzJNcJe2mySp1pafn43e1A8ynk9WSRyPg1E/z57iPK+4YpVfUCzB
W5lT+9NcpuJBDRkn/YA5yy7rbGIR2qXK1lPrnVsAd+tKJeQoTc4j3dFIVC7cLh0PSOM0SAKlN1jV
v1ZDc0ossUa1zRwKiwPUWnc3Ks/etYb5WOe47UnRuq3EAHRE45pdCSwPb/0CulU1YxV/kZRnxKow
ucbINvdU10t76q1eRld0DrNWeacXhr+9PVpRMjoLIOZ6ukaotDrSaVgZyLIrdwuFFOwhcHiOHbTk
mDyeascY7g0L51pqVlA/6lodhUfH2PWaC5qPmSZoaHykblt/LIRWXHl9eHcx1CIedtObNG6dN951
vQGHJnAuo7oIp2DZJZ5KPkJAFMcmMDVUZ3bOFgExz4UK90OqdYSgn3KwIPYBV1V5UI5giAl6ERgB
YrMCXfS2b1i8s7S9tNaPPKGPsCI9sHsKer+KOitR9/ZYzA+ezIMTFrX55C9+dsIAMG/coo9fgRzM
bxqaL1q/wnoABk6YKnE4hzyxsx15oOkXvEVLpNyuodka+G9KmuYhTXB1Zo5ku02wyTGRXU+5I+/p
7PQb/CA1cJhZnPqhEzexowXkyMF8IgEivRRp7xzabgxu3FAiwQkzeTuUAf/WhcNd42efqmyyJxzS
JrxKae65RTeN7r4GpUi2VcF5EfLZdXUJk4T+bMEYerP43nzoXIc41/ZISJ4wMZR2XnUeCwTYUk1B
H2FfizeGDvxbB6TBQ7+k4lOkTfnm25UAXOC+zMAV13UCF7tq+mEnxqENSVjosx3JkySguF557PPG
Yw1z263LLHGdMsJgqNg2j4YY0DBMKPcGlFEiOZB+qLbmjPWrsBrgFi6pG6iaWkORPET/NZMDlqvA
fA3c3r8P+HlgorD3qjArbpe0+cRoa23MvHU4ARdt9Ugn/87onL3fuT+qoD0Cr5T3Ig+99UQQ31qO
SXYgJ8R8kn4qosahTU076raTigloHHFQi7dtXNKytqw5YaSO42e0Qn1G7iefKTE9YhoKmup4XVEV
+Yxs7lwnjF/81rceSLoxb+1+VEcHJ+UtjePus8MvilihSZKnseLNGKYrvjuTGX4LUtz9eZpmGxt0
xa1FbuC69arWgtinzG0sMmdYsS7MHzbjqRuS6mcDJ21dbdrQrx4UbNVD0mTD9wLJEyHFjqEIWw2G
XVcrR618K7WecaE3UYYSEQqqYL8eaP+QgYi8YIcuy2Wr1E385CpL8+VfQ1i7sZQ7klZFwTmz8RSp
PcBzU3IGX2oRTm+YZwu5bjuMDeh6kjjeZNpJsFzVWXiXJ/mwtXOyCRyKISYksSHeERnSz1Nx8e7Z
2iczGKEvPvesXo0jE5OQgRdvnljtkvMMkI9BGbA9isZYzhOqD45MbafOak6622zIHtB+fHX97BW5
JdqDZLaPZBLKvdbLm17wm3TYoyCi5y2wpKXe2OXVmn3dbsi9wHQbtqCQaBFN66r0mrUqAn1jOy3m
rVgnW99BxlAaPmK/lmjqA5LaLYmI66wkbo/dNV0h6anLVTdX2cmYUvVCcs9Jx5+L6z8Eo/3UBsOH
1SQEc8kvIu/emD+5+1IazC8GExyJWfmRa5Y+w/wg7xn9pOW6Nq2uXdXLEt6VpmpxaYfLviwMDXCm
sDknBaK6DUXbPxpdjnSzDsAnuMrWd0Ra4aHrPCE+QOwi2uYtaMRjQl6KcHqMp9LZ43qp3ifgavUK
SKuzp7U0fh9IAX5cUOnt5qnGGqSUv2dUKIOVYNv71DrABlRajGZgGBHK41zx0k7QRH1bY47Kxv1g
Wpiz6t5atZYONl4tqwkxztGpcnXxchou19lssx66VB2QE48v2I/YdIJgcJpVKoWKvHqhZjWhe6x0
7KU/+JmrvKtcFIQsw2Nj9drEjRYEa8d8DLIN5//u7GP2SDYurdZNa4flDaxNQ4A+g+uH6c7fZaHZ
s+S6tQMgyTa2RKMGjwaQbHQuNA2f0fTV7xTs5okWRb1rcSrwcOtwR0gn/tgY6WQ2RkNYVsQdpMt2
ciBc8Qzbm9mBKJrrYLk3BlNvUHwWHIMhCR2YZxq3ZuLESMOnNr8tkiY+txw+NiLJsUCR27HTMdFv
KXi3UymD52Iwj3bZ1V8XLdMdEXnJI4qz+nERjhFpBlaX9JqYhy7du1wZy18SUYQPOrftW/C08Ypf
Kb9dl8IvpayTRz2WjeAPcyxuGeBPlRnhs7/0/ZOfh3m41n36jYWluEuGcXoezTmFiunnNWixrvqC
RLXhGpJ8n6Dxuin6VN5Zi2wuQzvVR8zDzoGxXQ8pp0TJZtjyNVU6xueJVk7h1j2NXoDjkwPbaxmm
DkQ0HRY7zjwIKZvBJVSrnMJ9M/hDf+0ypGc6g8NL7tIZnAzksHU4dCEshbG7mF3i005Z2nlfcV47
eUXvfR8tiHOrJavSi8OtemmCbK6SlTESDCF86uOkoJrc5y1N2VUFNH+LxbbaJ9WYvXZd2b43mUty
lGMyOCAFezGxe8kxe9YMnNd2MFsbFxA2lOKypLAh6828AeiX3BmeSbypqNV+iAldMRyiQBAQt/ds
k1DFnIU4NTZitL5zML8YVlU9G6lR4AALxLohDJjisOrvcn+6+HHAHJVEOr1XXIKxUpBmf/CfrhcR
RM/RMiepAfeG0TDrmGQgHowEP6zfokl2SXxzowbL8rPVWzRMTfzIGB/T5luh4mkzIOI5WwPqTZIT
Riop7O4fIokzCMzEI6FgEgQT1ZU7pg9OkvS7onE47BrLjEKhdjtWBjk/cKG00FU7GRRVYGjY1Ofd
5HvlPncM03kp47j7MdhZQWlN57A62i4j0ojCQIyncE49e7XElj8TtZgzBeckbRhnbJV9cLJwEl6d
2OJNlzgVMLw6D8XihPvUSLH3lUPdQ4cgcaPmaRfqmsJYjti3x4alYFk0Nq48DZNtSfzAuq8HDrf+
EqjN3LWzTTSdCZ7QSwWDqqDOFpwLDZ5ITCC3uRN2z+kAhHc04CiMjX+NWgqmH4sKkRBSe4/HxajL
r4JER9gFBVvkzA4rUbENzk3pl8urjefjRxIK79ZchPHJpTfvOh47sQpIODyyFbIM8N2gTZ11GbR3
IpDzXVd7AdgSvRTbQQzmDd0wSJf+QJgbuo8ixSFXq3OK4eauNkX2hdKSctEfm4C8iDanu87C/dqQ
MZFvAmc8ZX0S4G1EW4cVYPTUe9dAAytw/r8xUuK5IhOJQi+tH6shDm7iVsh8awTO18KmATVCwnd7
l+EJ/cwdarVjnhPWvOA85jyzGPIhnf3iadJTv3WAdZ5UElhnUC+E2mWtRlcL46XbztXSH+aysTfK
SIkShqGJ9j/zhn3G9vUicwnxIggSL+NKrO7YLln+UXNc2oxj3e95VCV+e23dqy4zPOz8JK0AMzJi
I+qvka/RNM0xUaV+wi45DaTUkSD8NlINf7VFEwBRXuTJHqbvnTV8bzvj2aQEWBVZah3gCU/rgCCC
rTuyhNagx19aJeUxCFV4k2HV/j74pSRzs07nOzpb7AwlB+ur/t7XK2QMtEHbtIuWiQi3LsTWskL+
9KOzxdh9u74E0BNv7MOHKXETsfHswYSuM6SU9mAITSi9zuyuFBBAWLJcXD3HlODLi2jbgXngMn5N
MY3mES6e/jzF/v2Q9OK2Zw0WXFa8xhnb0dHJHX0aEK8f2tHtCZaZ301+C0mVhnBJXPXzndfPyIlY
IqZ1O0Mh0fTh5A6oGwCbYDwjKHfeCEznytmGCTaAw8SMq97QXXJe2J0i10hIqM3iWdwZ1jRGnGWQ
Axd5sG6s5TapyuYU4sCP4r5Rn3Mx0W4rtQFpmVrXgBccOehdQMxUCLzrQPMcGJY4dBxp5Qr/uj0i
hWFL7nN72nntYuxqs4PQ0ALLISPQVnedbVRbE3r3ofZt1NWsdNajClrvG60MiNsI5fFcGBlmL6t7
KOM2ubds+oJYewpqQI1SK9ZRD8pvM3szuc1BUM97vvF+jKBMMXQNRu7YJDzVQ/g2Go7/kiyeB7S/
JZQ7WCxas+W0Fuy9R43Y+jYYtLcOOK68DZaXnXA2lRGHA0WM5zCiAG6I9gjD8ZaECLg8vWnMmxBv
HDUQ9dXFn6mKUdQPJ6C76TfZwlBWBcg/RzBGw1lVPZfEqj1JqZcHw5D+C/P6mpIojUt08Rq6IH7z
Oiq8zHJAUffBSwC2lR5sYT/2cxVSz6b4it0e7P5CRqtynCBqR/CWV8hGFbkVt0roTiVgX86SAG9q
YAOpb44R+Jk4IQ/QlRy35uELyyhIGA8WbrgN65GjfQxb9sAUOliiuWtUCeXc1w+9FZj7guN9zWoa
oCLWk51KPDEj4HMoindNXcfHoCFMK6lbRGmj8G5IA29wzFnVNmiWjLC7jhqoKzzgupm6T6f6visd
59ma4lXV2l/S2vsIC0gWgnTQdMWJr8GVjal6XbVeRPb4radjscdaZz6oWgBZqJzgWM5jcZt2+VOV
EFxuQUfECG9bj37ruk8a080BJMuyMZrhMbYxLAexNz4AjjD3uhD53cROWumy2nQyQ9tmLPIRMXm5
6/rW29olXWYaus7tWLnQFzzVb3VXo0IaWfPBD5/I3TZ2U1wehqL1dxo7NvjO/kdPtfI5wyhwlDFF
ekY8DUKYQG8mX5AQywOKKJRLoKZQKXX0hmLs/9zhjtwszpI8QUraLsxjHXhZByjA9sacu29uVy4n
wtudc6B7uD8tDgCFV6HfV/SfMKYTT1vnptGsFHzojS3ODS7IFaYbNUSt6PQ2w0SerHpGy2pjNsUp
aFGLKGMTZtUdPiL9XobiUweG3Gljsg74XPjbQeFdtNlGdefd2Eu/NxT1Xd1L99Q2yZneb83soNzV
SXapDWF+TRCmszRRDtvInWjnD/OJBthzHmLCVqYfMXiI7BTGmERffHCgg8gqc6klpuLT6cnYzp32
y7LIG3ChOKJkWtdyZdko0Zjt22wHhoCdTwlE9NjBt+cOQVnYoFfsKyZZHD38kzAmkmYXCmSvmH3o
UISaBVZJTP21nECqOn2pgtADzwEf3qk9inY9bSVr7tr0ZQ5bPxVfcd64j14jicWViZ20q9EAk+XO
Wb8v5hl0FlVFchQGguYdYA7x3g6WIT9i/oDHs1UedW9oPTmuj9t0xNSzyudhk/PcXjO1vQ2SxBkv
UKhoZbTpfIkNN35slAOkRYfEjOCaPly1+jKA6dMIG1RGNcAk2OO+TT9iP2ZX9DNuKXDOdfZkpEvG
yBGPV/gh05iF2BKOj38K9tzJS6lPIpl7sNzCMMsvofSFg3s2QHw/a+YjDGgJmieREvg4oTZjY9MT
9fp0paHGNARtJ9f1FJfCCnz0QzYO+aPuXVZb1g0yxbOFnuYYVzgsvNTz31VV6I+5tsVnjs0TwWqo
yxWKymHVUddFdj0VZObg6gqa2er3gHnxUJh81RSDA9UijA7jEhjtG43idpPZY8sIs/ePeKbp4UNM
AEgA+mop7jyzBqSkmrOT2YeuVB+JiROKOddZsL/Lujo7hjx1WW+gBB7xpLmykhfBgeSWOy55J7q2
oSJuVmMnzRt/BlEkUPjJ2Vb7YmhSpkszRIIs3A1l+GWQw4NopjcXQEtP8BvHjGxxmsOE9VkGEh9O
1dZ3ITaCyGu50UsEiJEU9lVkY+kH9u6KHTKnS5YVCvGhfyXQ94Y7yVWxDOV3GFUFSl+nizj2HCpU
9qvej6mZXIIuK3QscaTCbnxE7Nk/y2uC9pQ6NKkL0dxlCBhQFN92jhFvrMm31laQ0KTo6jh+o14o
zQ2qtGbt585yGGqn/5JaWVdGLamkp6XHz0WOcn7FPaeMhUE5RwZKSpa8JAroF8yZDPezaem1Salj
s/6UeO+KSjw2+Dg5aNE/TU2oP5CV3jtpWLsZZeeK3up0m9aiJel8Wt5mn6qtjBhl0dlALJuevbZ8
G0fLucjFiuW26/+HvfPYsRxJs/Sr9GpWw4SRRoneXS3dr2uxITwiPGjUwqiffj5mZaOqC6jBNDCz
aGAWlYtKeKTHFUb7z3/Od+T0SaA9PXTcjq920LrvUz0D+qhZ63ElmkmSJFMgriOdOEA1PF4G/GBG
ss91FN5LpKGfzKZMIXMS3sV9VCBU8PrxShrKM7ehY2YvjHDxRjfNnoqY9ZCb4mwHBvsC3acvOanA
pquGnZMPry3Wa17B6IUF8r4yfQ+YPIGxbm70WkxQXDZO46BxJwYpJVaKnCvxS1t6GY6Rismk54O2
ylzR0Gwf31W1tyBDpn1X9g47tROcfujXst/QuQOOE591tAumnIRcifvF3YBv+YFh2akwMVbDIWfe
fBdFgJbq2vXRSaz6FygWge/J4gMxxE0Yr/I66J8yx7TGdW226SEN0yUwPHsXT/n5izW6UD3AVtLN
ImyAksUAQKgv3OhBkZZrPTj2uq/iE5sSVgxWnh3GJsjyTSPoXVzZ+TA/zmNcHDCaDVTgKt86gOIC
cVUsDcoW6aN3jMvxTwLB5rrATPPkEkNCFx6r+OzMNkeW4/W3NmVN1lshgxv+5zNpXWp0/Lq0jw2G
82LtOkN6N3BvOfVTGLWszKDjQeAfJw37oOTLTdTHhkvES7zGivua6lkxb8z+Nnb7Zj/4Jn0egXV0
PQJ5q0E5e0dzYwIY01pXJjZ6Bhu2iP2mrucHOFiahtfvEh7LuvHgCKbLDXeYrfgRf155J+kpX5d5
ltySeXYPfHXkLUD+ebWV5W2B/zgbWKkF853TUqWtLWqjSvA/ScI5VVCai68JKL/Xc1cO6+HMCTuu
IW76u45Tee/KlD1/2SybsDo03zLkhVPI1mcDr1lBxpHuYwcaB4xT6dBE5nnhChWPh0WajHLT2Y6x
UgOl0Znqhg2akdwIsESriqTVexMr58nk8/igKsrzuki26Axz+ehgzYK+QrE0TxooehyqCFK9fRTQ
qlBP0ine+KmTP9Fpn+477bZvdcjZhrGbBT4cZ9BFk0j4G+dGp/p1VphskiKv1WDI1E8b3+yHA2zv
nsoh2Dv8MmsLY+KKMLdDr33Qr4l3YoxOs5IyAjmdFbUgrB/4diAIl7X/ZQzGB3n776gnkgEo5MYH
CnUe9YgcQ5vclGHmkKETcrVLFiIf74KZVTUYn0F3+5LDUq1Vo3uSEUnNdVEikQ65r440s0cvXi30
tDx4KMosg4wQpsEri0VgDi5Fb4YHx8ubn1Y0rCQae+jJ9r428ulYiNFbp6nRN+t2SLDLqDYOHyLE
oSc+XfFbWlTm+2DRz+yC9wO270S7sAzne7coYRsA9mRhOlFW0WameMdl2b6kM/Wrtp/DbU1m0z+q
xqLd0Hej7yCa/U0VinQbuPP0VAdkTgowVDueDhk91Y0+FaMgkDCL3mLdYv45FZOSk0V9NhKmLSsi
EgOx3zwabQDQi2eGXM+ZP+203c93CCvtcVap8ZVGkfsq0rw58DgI7mMHpwlvxcZs3W1mjd0vI6it
YzxYoUnUdnAz0gLxBaLVeOOzmHF5tpsPqFHJTxIJqOYqmp88guPY/5lsKtLlNGUBwkYfBh+S8M8U
PeR5gt/WEWss/HEt+lY/mWOu72y4Dc6d8Iv+1E4mIVHHGDDcM1Ud6lixK6cm5TZJ5TMzurl5CEyV
bSu3xY1iwmT1gsR7Dntp3amq5MphesgzmTXwTeZLV0WadaU/Zy+qyTGLGJilZl1ejdJ48QrjW2Li
fM4ro34sOzvcEfGJl/tr2a/tOH4VRtPfT13kPcsx7R9hPsELTx4GRNWdZSfde1q6+uaYcnw3yCtB
cw+7syxjf915YffOgfLuppm8TsZyExjy9E6mtnUuMi32WaTyWwSXbh06ffqrhwW3qwdLrJu8jxlK
BOcCVipiPaRt1nVltWqN0cM5Zp7m3Wr8+SOP6gZe60R0PpcGNy9dCWOVcSM+J7ETbQpCX4eaDPZG
u+BPowrcaW0vJogCYHAvo+qY0/G84wK4b6TXnaohLGEhm+a7E2Qlpyy/FUGQODcfkFXjcz/DA0Sd
TfhTvXFXViI9gqSQt8qr9TanhnVjqMI/d+SBV0nxe0CZcUeeFhmItD0X5qBZTdKuATQpsQ7hXx1q
F33Y9aMPX6lf+JG+fXTVdcS+Og7N3ehhRqvBcYLYL79TNy1XgbtA/5pslS/kuXSyNyrvL1ETXQav
fB07DpxxpiIsYwVkmJNgQ6y2fFnXnWlv+tgzj1lfPU3aPOANWnuiV7ABiozUBqgA6NPc94aRlZVP
HKbKtVhFlnEgk3SicvLQJdOFhBVwEEKkj4ha9kH7Y7KzW+Is7NapIWaPn3x6gNh3Bt3CV9+L0yeQ
xu6zUzAblnOM6J2X5v5/zqXghsiSHhZCG30ZStlXhl2xm/0o3RPL1S9/euP+b0cm/xvBqUwXpDuB
DFyA/zoNCUDtq21jHX016j8FIv/+w39hqoh/kLmllxzTJUmLJcnxVyJS/GFh9ieAIZAE/5bx+Hv8
A4AVpfULq4omPpPf5a/4h+n9QahhqW/G9whL2ZP/lfiHF/wzK8r12UpbBCzZThHBFP9ks6V/pk/5
37jzmEit3cgCcT3oxJLwbwAqIh3NIHvoC0FfZa89ocd6VYdbZ7SQ91u3pccscK1LQRRwVXZlxWc1
zGvSXV72lMaD8QzJTh2jsexvbl4oHOnw+XYND8e9pltz60mePrrQ6lcvITOsiVn4ig4qulfD0c1e
aZpiTxDSWHeOzMLuaaxz/TWuyOnBhRHLLDE/gYeb1jMFrqxdfIjqubMFXNGclU8KcfRJrO4mYluc
iiOOVXahkzHsC2uo7+JygpcBn1c8hU6cvctxjJ6wtxQbV1jJj5rt63XKFtPjBP33R1QGzieyrYcS
0jVfA7MlpqR0uUwvXCiZucwXZgq2mF7vGzJsdl9h6NkWBq9OYWFiF221NXNFZbNsyBaCI1lzeMLn
K13zhx8DZlquwhgwWRkCFlVu+mNwA8hbaZQFv6LSiF4sQnPscr0gXO6EhmVuYGkWG1jWA2IisqKQ
8biiK9o6JbwBa6QsJBI36c8wC16nuKAGzLPGON3M+BHXWVIgGc5jXWwVplpQiLhhr507JF9xYeff
wgpFsG/6iV1TXfSUeIhg0pc5YDipHG1A9M1n8MdB30aAKAqu2+QyS8xboKivFL0HpzEoqg+lQw2U
hJInsUKlYxzApeyuG6MEApLldoQ51FIHqfnvmLCAenw3gx+s04hGAdrKG3YpZdggxSp6rJAURfer
aopB7SSSwKGLDXSPDkTF2oIav7WqjvU66Y+02mZ8rF9aW1o3qMP2JXQ7/awKVX5FNCqC12iLOji3
ER/FNcCp6medO9OHDlRpbhyqSgmdYpf7xNmAZ3Y2UWD3SVI0T8S0gptNu024mauB3QBByBuWy7pe
+YUyLQQsv3kghDq+atvIGyQkYXzTNuVw3zdNGNxemv/AaA6geQSZsoJ8PDxruNj5Kmpz0FcNlqTp
MCx0MhRAVZzbhGXCwE1kb5A4XkVqGF4XX+6j05Yzqwv821OQ1gfPV/DQ7Qou+0qQ/oLy5Iz1OgT0
/CPiy7X8aJiZK7vJsvogYs3e0O6hMfRO7N4yAxfcyrKzEcYjLJ73JfM5ofuBXw7CnDfQ7zBU7uXk
o0jIGg+PFs3AvY7Qw2HWCnk+dL/DzJo/hghOBzcAmQ/yJyo63gKRJs0PxxvzbG2b9vgx9pjr6k6x
9jf08DwOXXVRvmRF7tjWqWCUhyGGwrbGaoP2OY36bdaerTaRbmlrpEB6lYxtecKU7bYrObkVkI6q
2EHPpDF29MMDTTl7fu95W9YU87K5RleXikkWIXUFQj18DawkXxet9IKFieyuDbPT1mpqcYyuSbJi
G50LMCr2HAtznQ8j3E8rZPFMyLmOv5OuUi+A9NVZpGYabetWwmo3bGt4N/iiUEWNM6RjOqsRSmWC
IBgZrWGi6MLYAwTj1LdqivNpV3QJACSURsouDKgqLRYOdLTO7e7qOp1orylKOF+51u8atBMVf8Wv
NO+TDqWbc7rPMvesAgC1W78zWN/PQf0iWiuhrovua0xcY/9mh1FzkaFSH2bvJYzeDjjUjrUQdJAR
6xDMpVxwQ6pn76cufEoM8vanqGO7gh7dlyceJU4K5SSrf9nsIBb2Z1fPvHjDcMVHF7UMhPjRyGgn
2LUMTcBrbePS8Vf8PeFlsdJXkMKxYEsAsoH+nlgcM1SOy02m4ilj9/kBp2p9wstR3Oe8UuwgKmqP
iBJkabu3tNTqUFIOvrNjtxUHiO2gTRKYQthqMhdUe9rJrONvL2y94aNZ/ybR4J8EWNiNqbXuVv48
cjgFGUYvg68bPUdATLKhrmlD0QzbFZGRB/zP1ish6mWDV6fWRajSekGIrN9pEfRPCKDwzJXXLhvI
KpL3FV1o9y5VcC81Lnde7sTl44O1K5O7qTJT7sxxf6UEwV1i2Hb0SrJf5FDePPM3U7Ppn/kNqUNw
UfLgEfuT/9FSS1LygLKAJLbY9A4h8RUOhsHh8hd7zQVlMbnjim3tCOtwRYUV6KxHo5nnVYaHQAG0
ysydUZfxJZlC7w16zbDCtpvfp0kg1gTdaVgBsHYj9ERfymyat4QTaW2Wqn7tIpG+VIGsNuZEw4Dw
5HNb9fYtpQd406WJPNROLp5r2MjfVkLBJER9C9lBlvKIW9oz1oompOdcRN7NK+PnEhj2LWShuYGE
tShHEHxvRmJRY2VTk7XGP4IewPNuVtvFAMogwsum1pOX2GQFM7Z5fBIyWX3FfhHuRkQjZ9d7aYdZ
qxwOcF29YxtxdSAxMf/MGDDxJtRJw6KmVPclvTgXsqbethrc+DNum4+8iuil6IJxH8agePAoII93
3P8BFqSP+CiKvVE788HpVbGrjQHsrO9b+JxYr2/g00qGQ62t5uqx6fvMVI/p20c987eoqQx0RSOI
jkcVh4uWvn3Es9I+1/NQYpJq1DWAWLRtAfTynYsSSltKVA6BtXIP1BrJCM/Zs8Oj5QHrMcAs2HnQ
4RVeNpotBv01YzC6+hq3EP5LrRBmQ3UXMck/CbuDO9oB91m1keNdRNS7T9JRGF4x/pr7QUtrz3LU
v2PXFLXnQoeCWgMqN65uQilYNQXhRzel6WNLtOV3U2fS46nMVQLuZeXIrVmn7cD/g8Fy7URdkbGV
o/h35Uje4hUSakjlWcvci9A/0RJElxZzVXVLKzqdISl5dbyS2pRfLsYFd9MmkXp1ba2a3RD4pUFv
ZqPOdpTMG+0MYbiXCt8V1ttuGo4BHd3loZ0S9w2nk/VS5HH/6C1m2jbNzfvBUsgfraOp9ejwVx/c
wov2MHzbj2hKy4eG+kHcOlFHY3Et6rOrsFuv5ihPkPDldGncGkcD6JrugQvsUK/QRNW7MltcMdnQ
L90LqZLPIhnrN2mxjww0zCRgr+CXOjdiV+PYNkvhuuEdbZoYe8iUe79K24YbQPvvdGf0YXEKqkLs
m5klFxvY1thi9Yd+BY+LKEFjT1+tgvC3Bg1ibO2p6n8koOAJskiWcUOqgkPSzQNBjhah7s+/JdNz
gXO47j+CHm0haa3VANn5jS+ntJm3i+rmDzlcszp/QTR7zFQOJR8c3iWgqoLvbGjzAcQ7ti9yJwAZ
O1XtpiAwBMUqdIO3ysRsznJliFK4PHSYoeL48hV5or4EdEo+BmXpPva5W10ZXrIL9TXZu+FjPl27
9MD8TKdZATkzaFAciTvdjb7bs9LJ2vHTjycxncpR9tMhJTmTnlRh0TtIrnM6tLC3foZZ1OzDQgDN
KgySosgpXlWurMYP7ggWzQdWwf63YWr3O4rCBgoR6EJIgrPwm42b814jp8vY2lvE3F76QFvIMlny
Phtw0kSQh3LXT2XAs02Rv0M1ffQmK8M/3s23OZYtms7y8GX9vBSnAgTshyh8nNSkf4ylr68eVNZn
NnVns0YGg73Vu1+qjGsS0Lav5JZYB0s0y50gc84Wa9jUGzZigb2uVDzVvM+ZE3QreIYpy4sumY9j
X7Nf0cS8EmgqlvMuIrMeV8AOsXiKuBlWtRDVT9uo28NQNvG1ZJ2K12+o35pgVr907QSHrEjN194U
07wewbcc0aF1uzMpRIjXedFGRyOAr3tMi1ocLC8eYQySBlnBGWs/0ebRzMem7S6xknm1T10fc1Vq
6uTCSBAf3GawFhh4na5a2GL42xT30GkByKkOa9qG6NeMZzh0QOJR8sRbh3HjlOcJbP2eMg7ExdBk
lb9QihF8lhdYdoQuBJRRnKoGXhLDtB4jPpmHwXSLH345k9NiygYD3sk8Q7qWxpPomu6WZ2bzRm/7
dEwx1nJV5YG/diRAx8rUDv+mF1wxDKs8azFVlzKIwB3EBEXCdZmVyVdeZo06WBgW760SkB743Mqz
+T4gzXVB/rsh/iL5uuT7gfLBm9HEmBimrCvZFTsObmlaUVbMleKZfSTWHisB6ebjISG90bnpOYFq
Q6tWL/VJx9TMbJA77WlFP2R10G0tWJ8VscFoqkB/AKKDj9q0mreGa7zIg+ncO0NzankifbE0JotV
0IPCXhOuEyULppchWbVt2K8sBzD+TOPCggFyVb9qEo9KEpG6W0p51VlbFIo2aT//ygn37uZxzNvl
Gsle3+sUWfjMTeMjVk/9PUZpeY2alJPEQGV9qOFHvOTOMlOAUcroqOcpjs5sNvd2Z2Jyc9vwYAl6
QEiP6WNB6VxND2c+vtqWa9GSlLglSOU+/GxBF9dr+H7Zla4nZGFJ8UT05uEa4wLoDZB8/p/IVP+y
wvDnPxYd/ncSs6SzoC/+tZB1+Gqmr+I/Q73+9jN/4UuoLQw8ITzPMdkL/kPX4QI2cSVkORKxxGJt
gOn/gS+R4g+WY677N4HK/pPA/h/4Eu8PYCgoWzhpxJ9s9n8CeP3vgF7o8/8UkWUDGEiis560hR94
C6zlH1PAKR3FVpqqAiei4d+Tph08aoiX/cbMKjFC0P9w/Co7FthGGeNrhBVnJLki0hpSZG8Fx4Ss
11PAE73YMA0Fr2Xny3drKLy7eRb2S+yE+oqCLnEryuQHparyjtjdyKe7iQ5u7ngCtCiJ2GVfav9K
KRUHF13jcXYzYT3jsiASExt58Rvfh3VtKEF+tjJzYLsomG0pWrrpWqabjkI7VC8IEFHlRyu2nslr
7js4H3mEvtLGkVxBj+1iavdwybH8wlxHiUFP7DlJWsGuiEiuk/qwbhPKm8rMh0oWOVzuOXSjO8zU
cGI1iVMbxtlG1l26lYhNT1yCMReNSXvX4RDdBKG/8RUhNVy44mJzZbni8zVOYyZsdtqqv7NZsC5X
7vSpb0V7xc0zbxPPLe5qy9bHKNMmN5m6f8wKmjYIg2KayAhcpZ1zFwJ/uHPrsd/XXLk/TLwKqHas
aCLPsrcGNLb7LJPNwVk6Wpi8wXl17fyFIRELW5xUO07qjqXxsp+YvWwbNi1NcqB1XsK0+l0UbUV2
uG3qeD2CmfoQ7Ri9tn00vE8q1M9B2IXfUBgQzDmYqx5LJJyN9USaIz66oiPlx/NALEYmLkI2lTas
lGdv/EymerB3KdejW+ETiosxoZ/pnB23TQUIgZacGUN+2QXBZiL0hblnwR6uDTvD7YdWWlxwBea/
zWl0DmFvQgMWpcnxjh3sQioQGvPo1E94nbONXZPDwjb3exqT4gE+ZnkyRlde0yyKNrlRtG9j4kZb
7Qfdm9cn8SuXbWBotfGIKFidk36wfhMmcVa5SCw0wK7u0EaA4D6AQv2llP9Jd3J4rZoZ9M7ohWcy
xc6mG4qlKCwpCbyGILtoNSJTde2BOjyqkmhrPOvpRAGwd09Ybk8K92VUhcle3Iv6Sw84+KvR3XyY
MEEfothXl4Vxhiiaba1oDA/lwhODmibdh+Vyfz+0w8R+yB1PdaScDyjbrr9N5954J0oVv0ZVlh6L
dBg+ySyIryEEs6cU2ZlS+/55kLXexAG2cNd5iEezfpT9UlbcZf1XIuv61Rml2jdlJz+qvoqOc9eD
4J5ArpurEkPf1c5lrMAZ1NVdpKl4XtnShtShWM/NXlPdO2NM3ZNfVW8hVm1axnPRQQq02I8LNtm7
hE4B8nVTQuGbbT6SyDEj4Ae5vKcTloqRUWEqUiJHPuotc3hlpPROJBInnG1GecWvR91mm1j38czF
sSo6c8tVvznp3iOw5dNJFq/dqnKvKb580KAZdU1h2pjfvju13zDq6iv7yLHZkNTgYuVYfbbtuX7W
m0LrBvuVK4aXGOJZvTfxE2dripNSbxNMIApyZiYWZTJxzrVcmmy6oneuVuF12zJjS9SFNedgCdXO
2VR24fvrIsFlgizG+nD2DP+uhbVPLIOj+IO9whyvEOnhkqcOaZvVNEdooczeDPFNzOoB3/agLi2G
zXdpqyinkijqHkajL37hSHRHrL+R9WnjmnJWlAmoDy7Ty7AiU5JdHhYBsu4ZWa8PjLGMm4rk0Aub
E4c4tTm81wJN6wRkWmLIN8rpaJDhLvYop9JcU6lmoNcTEiYYXXnvHeKJvw0yH6PT0r4ky2k5tNkj
cDBSZBjTkVGMu87qp27vWwKlobAC48NVI1oMdgwDj4WpRyhshPrFIcZzgjEXz+TdkBFC30IEAn0E
eoHLtjaGpNlPtB7SjWs55ROuEpbQA14oktxho38IJj/mE3w66kyswGqfKiWMs9fM+a7Lq7ZZbmMU
gCZ1Pj0JmtapC7fS7iNuIpewfIx/YjV0A9TkVOMVSzsD6VNoJ0yRScyEdJ8k4mghQpzot3OPptmy
19ZsBn43hlu8MSxodth6ytZgA6ip4+6cPcYpuPhuCPQ1C+zfZKcaAkvBoz2OiFCzE7H4GLPS3aFa
BafO6cbPicA/fqWudz/tThD6XdoLj8KN8JjE8DL2ESLjY4gp2L9FaUgKYLJzE4GOVOkuSJaO9MYj
SJJmQPbwyU8w3+kmSl6wtI5nSOXRq7BjogodPOlNZQrUq4HJ4xtbcbeSwTC2BDYgjyhASVcj7TW7
GcLizarNO+doGBnf+4YvwntF/97z1HIXZwoGTJGbBR/AEpgJ7QgA8fch9IYXqjPUNc0dM9qkhkji
beEWyTueI35nqMr5CZHCLjbzzAZ9palYPIEtqt9ApOf2MfaSCYOmlw9AeAIJNr8RGkBDwRtnyAzj
vyE0v6DTR9mv2ugZQcY6me8Ko+cb08INemNr3J05Q80vYbbT2yB8/5gVNrNR6M0JZ28h2bjxR+Nu
LcfuI+DnH3RP8RS6UID3znGMD8C649mafG7r1JF/m/3ooG8VwWs0j0QdqiB7sOUY6c0wOizUWplf
ZQbVZtmvDN8cuu19EtoMNJS9ta99b0/wDGJZfoJor44BndgJ39FKPjkxKdEVp6LxgxDvRDQdtxq5
XCLeNtken6tC0LXZV4yzt9obfc+aIWnZUKySuGzqfYIl4b3NG0reClF8ewoTyxu7PQTYZhq8xwSt
PFqgJrySfTJ3RAHK9BYoCPW8XK6l1zbx/XPY5pJoZqIehlbhddV0p2+aId7Abc1+8F7RKzWPfvU6
6JanQI81lbXN/Jg2arFVy5LdS1Qvxg/kqfLB8FJK4azaEK9VQoxiDcPfu/Q4//ER46uCbRY3QXeh
z4YOthTNp92EymlJTCAY8VS0Fvx1qsL30IXFniPxMGtmvKoEA6vXTo/uQzvEAaGbmPedEgF9MykK
vc6j4EQF5awfOzOrHgcfbwtWNfaXbmP6fOMpyiEOPrkXtFtZr22ecHwynMk7GEln7szShGQu+xSY
+ixabrTmgnjF4XTv0itm4jMtLGRDTA0GqR/wy64Wd24z8ooEWVpfhBh5hSq7ilFUIv8rBX3/kxmT
XysKkhbBehx4fdUEPdv2op/0cGUHF9rra4wDd6/m2uDwa627dJbJNZscoDCAYuZ9MiTOgSctVrDc
NRGP8kRMHqF/HVxC9mTn0W4xh7GLaQkUxkp/IvWDccgKLX9nVZB/h10iT05oRD/w/k44YzVGKxo/
71gVieOEr/T/D43/Z/VcmLsDcEr/emg8fbFI/7f/8ZVX//5v5y+NUNj8JxPE337+rwHS/cPzhYRt
JU3bduTf+Zee/INJ0LF9T0A6sl0f78FfBgjp/GFCS8cSKz0voC6Bue+vAVJaf1hAJE2f1SCbaGwQ
/xUDhP0nGu3vkCW24+TUXPaIC1LtH/hRUNkjs6Pce08qCBOYEbK+VAKmj+ri/q6yU7fcBrgt2SgZ
g5pXnbbTLU/7+jyNfXgso6jeTQodk/Wu2ohp9DbYJ8dDxmmyNdqQy04FCZdOdsfsN6Em4zWExK3r
sp2OueXJVcbX6G0MMnizLQ8wXYtlqdXU9yaU4bcIzD+DVUmbnTkgXYGNOAdREByLGfyrpKF0i52i
OaF9wwIkIf3lw3U5ezHjzIaUDIQSTXhh4yc20l2e5gicPUQaVh+ac0QmTyWRUrnyfNO/kF/iesvF
tf2OPF8DDzF667ktDMgNMIinc1338Xki4gzeif6OENrTflL2LxtD69r18WOtmE7IxKYWpTqhVdmk
OtzwJ0GZnocl/jTwAqAYdDF/8JBOtrSFyIMZps4p9dRE3AYR4qwjTZ8k60FdbhnIoB2YTNjXorG7
lbIW/QzY9tmhs++HzbywavEKbPwI33gCSGkTsOn7LpMiffOcqXqjq6s7COLt755K8VwKB0pCnEse
90uhObyPuPnZyS48SYDC1l55WJFZkVJlOZDLRl3G1PtsGLk3Xknlh/xcl4FcMuf5kDHnR5zpRnN2
6T/8Mqo4ddiY44s28rZleUWzGcwq/pS4UqDwO0nKkeu5cShmaW15lpibGc71hsgBWC7XwngWxZ31
CNog/10PvAsbq5HVaxozsa98jJvRi5YDJP28t7iCzy58UOynOc8uO/Wj+5yQ4THIa3VzrNwCwNGE
ire7HLDMGk3JXbdT0y2MwnGlG0Yzmz/SujX8il9dMjKFOOxKNsVU45T3cBdgWqFnEgod19+C/8pR
2QYFIcoMf0+Vy+9EpNxh9DBJQK5NPipqG2JMfvRcHX4FghzYitOaf4ymRUlKTEenCiaaUWQNMTOM
2yUwUzYPpWURe52Dyox33cw912KseIztLPqNfKHWI/HW7WTF3KyckmT0KmvQpFfVMGu5Cvys6w6J
b4hfoWNMXzMLzBfJfxa0iGHK3yLgzk3A2SkBCBAIGxZHCAsqGWsQS1WfgcWC6+DLTZbaFXE/Qq7l
hvIf+xA4eR/uLMPz7ZuKKanc2H0TEc1NRlcBs+ggejJNOE9Uu6aYfCuDHhi2ToW1TUwaU1Z4XsX3
MNVonm1sCi6kc0TbegRtg3tg6JzMyaNeClhG8JiN40+UU/s4mVi07WLODkJk7SP8qOqC2RGvjlnb
N16UwF7jxh5fRyOJvmgAjI+526THagrxW1qo4iQG2uCetL71lFU65+86kxLAswAanRcza8/cioZy
40xN3JPToWhtOzRzdwiUET0F+GY2Vl8F340FBWAztgZPfS9WP8gIDT8ivGI7lxTD3VxFwy0uICq0
k5PfkmDxrke4eeBdmpP9CbVL0jboSXAJOeW5l4w3iZm1jD75Q/IDZk1x04nJbdYOPrkiY9MpKvcy
9xllQx3gx7j3s0s7SefTtyPy9gWAg5Wnk7pYt/D+tpXH2cPNMu2pNTIZ5nr8dkeGv/LEiA/f3veW
d631rPBCZcR4mNzY36oGF+yWOFh4wdKfUTxniDqjRNvT1TJsg2io7ODFlRRtcVkPHss5e5iKYlhH
44g4bfvFzjH8qViNTlc9uw5sgbzKMKfYdvyztJTNYDRjluk7sZc2978+kSSBNAZeMCLpwYqx+2eO
GrZOXQ8bvurNFn6FXBUTY3rd0ijsRqP9wWYumyD+2A1sHK5G6ZTFdwbn3jUXrnkfaKPZKCfsN6Js
9KPDOX+roz7ECFJihe67lIa4Qdk3t7PTZ1Mb6tuknVuh7KWw7rEDnud8TA44EONDVzgY4qigOVWB
4p5Ggwsp0lGPcE0oibtGxFnAd8kBC5wR6EOS5vEjdQfJkfnrIZjxv284LdHpGOmsD57b2LSalJCt
40zuwyy4WoNqGGrYAyI/+ay8i3uq8cbXZCzVb8hP0SPXu/DZqpAn+XYMwY8IGyLukca+M7lnfw20
Jb11cUJjmpj9NYprfiDIhZoXFCYRbBdQ5IqKHe8hHyVUlGamDVHOw6VvDBvVUXkWvUtmeIoigDEs
vdkjEyXcRWqWx9boKdFzzLbdEQbKHh1P59s4DpVJyFE138JBM7qzWKR8kYTH+NYiUVosVUqHhoVx
vFAaH62jaWHuc32/zH7ef1gEQwknC+YHnmJ7QCDlcsb7qgIAHIKIN23I7XDK7mafnAlHYG19y74s
uNFy/DLXl6RsfIwcdefrn+Hsl6v/xd6Z7caOZFn2VxL93AxwNJIP1UD7QB/lcs3DC6E7iPNoNE5f
34uKyMqIqMxKJFBodAH9mHlDupJfd+OxffZe25hLM+ihEhxnb1Y/C48juTJk/9BSNwCpx8abZtGv
dIyaKPugL4m6p9I3o9uIpA/yS94mQeOQgI1aYRHWZVGNwdtVJ1L2xqkv9GHjayRCaytNdpNdcdJp
fM0BsmF2rppwvKaE8iE66Asf22t4NbvmKRzKdl3wOKG1gbB6NlbyfnDaOUC7dh/Bw/VXcCEWNZQT
z2vQ7CdPE5dYN8qD7DWbYUCyoHVT4Z59nqvfvmbT/2qL8j/c/Sx/0fcKc3USxd3/GwW6bFssGOr/
eELfJ8XHd/pa/nJtP378lH/0KP/6xb+N5/4vdAOR5jR9E1i6/bfGFtdh88PCB0nFsg33awb/63hu
LdZlw9Jd6PGmyabnb+M5tbyuKzzf4kLpfv3Rv7DgoTnmTwse3WV2pU8It7PJ3YFp/w9juglPsR7Y
O+9wrdI17EoCldLXENa1qfnOnZEhWY/956FxvJ3QhmJVcK5s3CEND6ZozB8IbeUeWcjcVGZ3qwq/
2NlFl77nbeYGFbhIk3Bo1nxvOh0jlAQVmA9TdNEIad57PBKDSpVs6Q0WJT8g/wIyiaV7X2tOMmxj
vbaxJlSFvSIWQWOYVgSTr24wmeYnoL8G0rroDs0cHSh3t9EPSz1Iav9WV0mzryGyvYqo8X9kGigC
NO4p3NEtqwKrhOOLMTcff0T4p96VE6ojPmwSzGLsdmRN4r1j+9NuMum75ZQmc2rmN+SXvVsrDwfG
pbQCGkqDaMP2eTU0NoIll53rADyOzPbIwVZYYtrhqwZzModJ/dTPVfUzaRJxA5bAApOnHmep+3h3
pHe1XLgW7Jb7hFe1ClFbkorwNOwuCLxhLJF+Jpo0dt5EDgqXXfYq1aQfWTF1xzIzv0NCgz8Kogwv
AeGQhPGW6aSOD9YkXVDfs04la+Ym32J31F7MMPJOTSLtc+TJ8Fs9InOsRulonz2xkpsC0fG1Qju6
4R+c3xMmzSpkKogc3b4MLOzKjQtgcj0hzW1D3fsc7QxDt+BmR0FMX3Do1pSvoWyQ5ge/SppJsfsx
Q1wKwuaF0miyK8w0oAvS38Se0l/7iKrxRuCV9R3yOrXKjGUxJve1CZqKxzO/emS67FqIFvfkkiiB
HKyUNHn47CGC4yM2ikebkY7nIA/Dbo6tt5EtyV6Z0Fh62y1ukzxPGUe8eFgJvNQAQIdi44ZyO2Tu
UpdFmzRQvp+UH4doq2XtXAyjTw+q8Vb8owPe7fTiPFSz/4MJJnoae4P49WAVz9No5kcvDgXcOJwe
q3H0G3ZSsOeHWjfv2D/qJeE1zd6Iym6LlU2C9Ye05S1PD0Z7CJ0BpmXzMltTEaSDGC9o4oq0NuMm
BGA/f8q5xDebUdDdrBW8Zn5qQAVqS/U+ExM8aZ5X36Nqu6eZ0vdgGvR2ZY3pj8aWK4FWu6sn133O
6hFsZ4Fs3ZK6dtop3QxOFgNJSMonQIT+Jea365a76YyhZmAB1cRpdOkqPbpaM0kcjM0WAw619QA1
hlbfcWHquYXoBLSmFGhO4ZTfvTmTPhZVrdlrTmsH3Mm8LTST66yq79IYjx6BiDUjyMaE/xW0QEGL
3qr3XkOnJV61x7jRNkQRTLDvKT3QtBz9M+D0f2jw5tQzdZtz2nAMn0N4WXv/TpwI3dQdKslxgNxP
9zMxullf1TWZbt6OJTcCGhKIHptbS5av+ZhbMc7mFoDgbCQW3utSnbq5Hz7DIsYZHJf5ySeZVazB
mPEYj6zyFSN0G0gXKu9WWLFdbLuuhQaGhpvdcwXm85x9fbatWFr2oeRzIQ5yORcGZ1ITAGcLSpGy
tez9d4+pv9M04dp/xssblunbPHkg7NuCh8+fTvxJ61j1Z5G+MxyuI9QeuUVmPYBaemeWSldGhdvT
we13dlvlYlPj3zjw+pGYbtNCMsSq4rRcZucYl9g0hyMis0MFUJr3P9Fyo8e4GKeD2wz7ZTZvrLkZ
16Zq3z2MURUNhOTY5NHMTY+MZvK9aUas67NRXEeoHQcsDQ1UqlwdST/ER7MpCnstM3AjMEKtQ9m3
lsDerneUJpECCYcs3fSiJxznj8VVuYP/TvdX+T71eh8QgSy/mYWlLtilmwsON+C2w8LD6Ab3lTt7
eBCFFV6nxd7I/3QDbmnJK2iX+Dj2w7zx/c7jZi2cHY75eVcJYNC44acD7EbIdWB/QsAUZvRAbBIj
6DBH9PjKeMAikMVBZvvGbvERBxkP2W1uZQpbFWfktpVh+9yZDsESy6+fEeH9TcMS4lMA5gEvRIO4
AsoNU8NJT6xVSOFilneetc4xb/3Z0x4siTUMyxBghxn/8k94XOOzoAX62XGr8kpZc3slG9wfdaiy
e4TD+Bw2ervHW3AoWm/T9bG3QRzo1g1qVLdylcEKexiGu3EJPPZDqcCW5Uayi218E1isYClMTfug
oH+vWQsiRVeGSccEd4oqtBmkQ9KadInRIjo7A5xv6I7v3ASHG+SY7jy3XQw8T46nMvLEufAyK0Da
Ts4oSeySWtezQJVgoF5FBIDXetuDHibZeMumD0ohtpNmNxq4FZ1C5Bv6MkBrgk3d+v2cXRUtrjcC
xQtGQMm6JLLqIxZI/y5eThGYAIwr7kEjEduCnJjM+AF9atUMmM20aLoZJenEFOfXOuUxsZ44quRy
ZkWC0wvVo9lbkRHfFXgZP8G2ljTgctblLVHroeXS0yfdqsRfuKPHi4MR0zKHJCeFvVHLydkuZyg4
F84ZcvQzB0GMVQ6YnX+ZlpN3XM7g1rTHYzlUnLk1oO7XMqRx1BwmTnSjau57t6lOM3yHd4f186bK
XZf1GQGn4uvBkC7PCHd5Whg5COdVtjxDuKAkgPRZ4SZr1DseQbpfY2Lxtalju2807uOkV84tLDU7
xCPPc42ttgUWDF3C2UmcnUetr+tALs9J1WIVTr+eoGUded8GUjY8KnhPQ9Uyk/pU50XPGdoVzb4K
6fwOYxomoKQuj/RZx0oXTUvfe+kkfWAUjYskJfkncr+mBvpTy43GJDEvI4X3NVxkJKTwlbsOt3Dm
DsyYq9CPG8yucYdPNve8baip8YQzsd4ALR4PoVOiEKGl7WpGnw309PSQKmXCJ/Bw4Bo92k6Jp31c
djHZjWPK9GBBTL9Jo8J8iSthXzrpePflZJCgbYnZBJhh/J/NjJA3snX/jsewvyZySp40lXYPIete
SRGdWlzxsbbR4PmNm4KFKusglLEVixbrIjRL7VutyUBt8KWcG6ZAAjRN51pMdUxxbF1cOtUTRKkR
K76Nbf+q41DY+Nw+WT1buhMUoWcQYurjRy6f3jbl1nDAGk74PQbq9hj5bJpXtcQ4TkBNuzozAQFX
jPZDkVbiCircWRO04v1RJNUjSQCUnkpv84OlJWlHg12M7hf3XsqDt1ZrkKSpvBF1STcjBX57Bkv9
2+jP6jvEvcVkPcPKYiCNrGAYZoe8GftoIk8GL+OEx2SXpbziCBwigQpTsxFuPe3oNz2UjHQcjwQX
AJrbLPk2dQPbIok0/c2AWj+TQnoED1ysx0rLacALkyOKoxx50TxxB0M2e08tQR5MRzJYWW3RfYvY
9r7XCqyB7to5OP8MN7sIv+HhBbVSmM62o9jnZKK8QF10u5xHuZ7cafQ3rkorXyALeHbQ7CdhXxN+
jTCjjtsR6dqranBK6UxET8Od0NFQv+JMtLRNraeUzydds3UsU3+tZGZDwpDqBh1j4HXA7zEAf+CL
3RkOEvL4Cuprs/UY2LcYqKjX88WR9MxngRID2dWCol3kXJDCqjy4lAfwaR8Yysu0ie7x5kw7Th4G
6zDTkXQSMlRV8Wws2rvdGGrfq7x+GRwnfWER0v7MvtR68AL7vqNxy9efLZFj7YZ3IQ6OXd0QHbxN
2Sgx9I8gw8dRbDOPZwUfq6/dQD/Cf4d0JGg4Yll58AQVefqyTWDrjs7Q1enWaAnxQcqrYc6wfxgH
jWDKspMw28TeRcIDzupWy1g/l6wvyGdjkmaloVQc7jClaoEwYEImbZGcaPuLphP1M9W9WDYjrApY
kiTLvqTPsOqtrUx65/JrodIvu5Xya80yDyhg6bJ7Ib9SY0piH+N/rWa00BEwOZeNDRac5CNftjih
W7dHc9nspIQ6VmOfh4dBeempXDZAHr8oemCqId1zHbnNhIz3JRTl7bDskOpwHrk4WdaqAbx7GMHn
7RKHv3/Uc/e1YBJMtuE8+TfQYKfAIaITWIZy34mvGTuzTwBceVqmVjR88qltJx2hvozTblVX8pDm
8g3/3M3s6p9Lsx6qf2h8dL3m3uKp5PFYP0o4AizNUVDuzaid8EknyfwjxfW1ArPwXHQlQzU9ERvQ
ysZm6Nth5+mNXE2xNe50Jdj6YjJ8JkMKfzacOIqbtm85kvpuE9lmfVe7IWsNHiW8v0kDd4/IE/Oj
qBVMrEynhtJwnbOexTj7Kn7na15W5k3KlX2lhZG4weRl3qkh6QDjYD8udxjytQfaeKwrscnhExx+
KBegTT3CSIzmWNxqYrL3bZIxFmnlTcH+3dYbGHQSdhPs7nQnEkWeZjS5Y4xS2xTOj4mYSQoPjzAc
9CKU7MGHpVTjGuwGjB4MhKfO7C+Orl697L2a72lSwYDDzr0pzfQzdaJLlhVg7yj2unOdsHnj/cXD
C+vX7TC7FC7EZf2q98QP2D6hQsDl09od1bnqbXbk8CQK33qD9+G8CKxe644w0UFiZDnyJIjPIgeQ
SZW2QUg7L9jwUKpAUPjQtURVUPlhHY4qvsNrKe4nPZzesfTPKw2Q7aGdbSi0KZxWt8ycfO+x+ph5
nrrjK8qtWGOcMKx1tUR4I9spDjmxhq3NqgGLJwRpurIoqtMIkE65awcjAbq9XTlcZGMm2SmHi9Qn
xrhnhmRTaldESMhT04vqsBU42M3CWMuVvc1MI36CWpbserNz1tgwmr1nt/4eTElMgDAhvpAsODt+
BpNlC9HGHrD/a9NPi8dxpCmsTIr7qOQQhc2kzUG/PHA9EWOXM7KnnNjLMbPhv2RhzUCWxXMA7Jc7
P+7oRx+rxnZWNTh+zgzSK1Neb50E+OS6yyn/XFOHxicwK3UO7Jk8yFogWa/4Uap15xd8Rd9ht5/g
YD9PZUI6Ejvq9zoqrX3M/mlHiRp5xY76W00lxb40WTJ2ZUk7sZellI1VnGbD0LCLyBziZxkGTiMM
b0qcRUj73xyEmTTTD1HFV8QhWXvsYGY2Wlvib/hsPHsdu4O+zVlQHFH46NZo/Xvu5WvTB6ubmQVr
PaGFxU2cmWS1h94FTKTN22R0SOeaEIhWrZflBOsdl5cgNA5DWxk/8FjCBTBl+RmHw0hAma2UZ03a
uqF7hcKLEB9rWaYZ3TxV9kbrBKQN8pThva31/k3JoH3lrtKd7MRRB30SKEs4L8kWaXa/7qKkfiuE
RdS2zqtTytaB+1+d7mvMUXuy7vmOxVxzLq1S7mUyrOuRUXIkxcY+1p+xLabGjk+Y9dRxXbt2WhoD
w2PpkhRoHzEGZUOPAHwt7ROmcxzlfvJ4PVXpQ8ZVa6x93r1Z9j4WFjd9pojXPjTURJ/dRHqsITXn
EA7pNbLEoH4NLSAnRz+rv3MXNv/eVZismIefUwfN7f8JzkDFixmG7Ph22jTJrWOncE0J8iWrxoEV
BoGe+6+Vj9FjJEqydy0GsGoTx7V2h9t9+gafpW63ue3EWzDdM+6fRa9E07GgcLKhpfYlnm2Nxdqi
cOpCAU7yRgTCCeTwEb6/TUUUN0Tt1+qu/2pB/r9TzEL8ygxBp/nHmvwx/uC4+Ch//MEr87ev/FWQ
99xffAfVncePv+jxiyvmN2AIfhkLVcjGuvmVnPirW8Z0fjE9arxQisiQgjH8mxxvGr/4TOo+CQmH
5jfsMv+KW8Y1/izHC9/y6KbwdL6d7RD/+KMwpeMrj0JtwjVj2HO7zpUOnAYBHwFK4gfl7u2E4oXo
n56DyBNMCrXM8CxEUxsZG5Ky9hIhbPqHgRUf5hOncwJOzuLGG9USTIu7+4oQMImmiicTwXRio+w9
9zFFQCd+oGJT2AR9Bx8+xc3keMN4FlwUTjWwxoQyIRXxsUDQSjbLVRDaiOtK9vFoQffgcJ1pxQoK
7xjQb0wYYwMOb1e5bACZhLHUAqx00IhxEnKw+DTgsDgI0/teOc0eM6xLZcJYvjq0rPprFRrwJ2Rm
rDME2SWraKlHlwaFYQ2Gmta8gdaD3YD1mLlnoESUCbuwAnxQPfgTq3GrgCJSu4LeFyaXpDMwtmZx
YxebyK1nmP5ZaOHlZb+KWRJJ0t2nLhuZvQ29viT6YCfuQqrEwsrlSHuHGeL7lONMybkKybM1hUrO
EpFRX7VV5SanEdr/vPHyqStpN3VbAV6DKjXckKH3Gg2Vesux7mDBVV3105w16zO2XU3DFV3XULoS
dIiBFe6qc1iS4IbysaQ6bGv3hmYOV23W+ju6vIvvVhFjJcrwbeZbghPaq2xstn5QS4Fm2WCXrprp
hPXGtKOc1K3s52gdVn3+WFl5D/uaUEm7ttnLVGQiPeNT1IgHgCGM/G12OysMFM5FJsTFDZskbWKt
47qF8Jm6iyNIhZp/Mmg9CYwagojZyoWsoNXsH9t2z2W6uY9TT780hCQ0YGlpMbCLd4gfOOA/ddmN
F519vVqTyTTXVe1mR40S+C29xZT2jDVP58RD3J+nctp1dlMFlWNMQRxldHVNFIXpUenvJYUdz2Nd
JS82477EgeENpIQ8jzm8mx+MahyvZYQPy+5I/2ZcxW9TnvDbPMP7b9fcxLF/+oHie+1c1vBUyBFE
l7LzSDyW+sK9MLfD3EKtBt16o6mINoWwDY+4vKu9WcR+UFqi3Dl6XDy3XMOga1tYGsjQAyhi4+vT
xtKfenydWGiKZFq1JMvv/R6uaxLzmw5K9zaJl8hTgztuE3bJ9MSUQtOGUuPR6ii9it25Xze64F4v
JrQmo7B5/XmoR1dE7fnOMnsS8mU63vJet3ZUubn1Joam/ukhTN4xDpqbVDnGwxwN87MG1HufuwvV
dkgbxgxrrMtnhl3zxa5SXFAgLT+JJ6bPLoRwBgy1t4EX3qZ6yBNfZp24TmbRvDVUYdyV5DI+Bj9k
BdSYrv9gJgoAapwn+jrFFM6ky5mSrUaEzS1I+BmZU5gfw4wzmee5tJ9Ms4lu7T7PMBH3xbcxSt1b
D2n3PY01uY0LJ4yQdWV/b3kucJEaanxCgPSHK0OfhipyCRCFNWe6TV2cPMTq0/qTPZHxvLwRHq3Z
nT+Zw4Z64w16/jQ3uns3FeNCSND61RhjiF4Txxv4PUlLgtH0jDfLQsABEz2WXCHzPLxQ06yOE2fE
fTgm0c+CO3zF3micXjK/ZM0kOZr3lliczBgrrM+srQhES9+if1hmJj2C+CbMtVIJE3ruRPdtEZUf
SIp8+ulkAIxMbu6qE1wwwcYygraGN54dM+qANcxLnUndAR2kjQqhhOoI02OpQ6KTCbGdiH3abE8o
QbHbI7s98H1t3mJ5Kw1yQlRsOc22nGJ19QwrH3AN8iGpcWnSO9OZ8p5lJi2VFUmaFVh++ZCmsHSF
gJWrUzV3QiwI76Pctt9CONhHiiPDd22QD3pdjGcCJnhpavI5d9yus2JfDfB1wRaZqAdWpA7Z2NJM
amiTSShiss4i87qbvMlinJ7Cj+kqGP2LbwKN4nzQ4MNWuT3fDQL7Ct6dDlVNT/LHmN64dzPVhm3f
R+4JWq4OnDYdjonti3MOg+qYZKpgP6EI0GTZ6N8W5QSAuRqxPKatBmZL9eiBuT4kGgyITmgoNg1d
UoPwmxs+CuaTQOy4Y/MIlLHrxREmQ/ExUtfwAQ1C7bDS8DMPltX+wLjiQsNIzMfewOM02xSJewyu
IOza+jutRsOHX6cz9hPL6dhsaHSnUjkwtHvBZEjJTZcjLBnlZyix7ayWaWMPVIBQfGNp08Z08ER2
4Vid0wFhvMLmvuonLDErd3CqoINCf4jjPsM5b2sgnXSvqINkzHjeerXfXPyY42XVGE6Bx3bohw/C
ENgQY1i193E3qU+rpxjg1sggy/K+szOWFYVb3oSJnYLEAXDdklxaBl7Z3pWVW/hrWVExBZbbtdcZ
5hGImwqCtehFdpFyJDMQF9UxRv8gnGKl5g8yGVzJQL0OMAItKzn5zjT4gWn2+pNw8+SZZ3aWrNuk
Js7i+lX/TuOJc8pzr975wvGf/BiUvMHOCXdaBX1ynZlqIc+yuj4kvSwfIWYu9t5Opidc8Lp9iqmS
fwFnKMYNNItDIoXgXiPL6tjLoTl13BrvR90zj7YfZwHCGLtWDx7ojBvsOpeSF8Tn0F00we7F8RtK
naHEvuhDK3Y5TKyDnD1C2LNX3vthY7MPs0zqPIUUL53ZxgQHBotxiNSOEx4AWImbJI6TSx422Uvl
G+KGga2xd2zOWaY00s/P/qS8N5+4BJRP8arbeb2bBB3SdFzzdo5sVk7IbY9Ec7IDUdUcodqqJeYH
V7pPqehUua0pVdrF8CXeykgfnk2OTqpuzLY+kdrwtzHOIX0Fr3TcmxC0j9SMqMM0sc0wO6rewlAL
ElrAmpWWpnQDJkP/PtHSl4Kqpd8GCEn25tGf+ZX/9/Yty/2LBYaFm76h9z9DR/pbRdijZTDa6vUi
KFvyo2TpvEcIzlaqy5yT0XmPNiGs3QDr2HD7+qW183bX2y1Ld7dnrTCnvaPvRk1iZqzyKH9IeJu8
NKM+oi308x6qWl9ghzOSe3P2+/EIa8lP1xXo3GgLMsN+9WU3fasxzySAeROIJ0Puc6qnRSgVgKw6
jNeYjdo1LQAu2CUoNCRLlENCS9X5W9KIgRfRh48xUdjr7sIFkTPHKrumX9wcf0HoVJOmXQVUnXzB
6yxGkcfki7lTLfgdZQ+K/MvC5KkXPE+9gHq6BdmTLvCetIraINJpxUJ6tB4H+xDykgeIPAug0rmR
ha6fsYPZ26Fo0SKx7RHIi4tDYbCpcYFJXKXX1RtNGBe3SIyLYFRmA6sPd+HCGsoW6lCmLQAirt6s
k4cvMBF7V3fTL7QinDjpxRjH9hw1i7mQ5Qt0owLa2w3FasxGLdeZZ+eLhDR/UZHMqdTECZ9OB5eI
yOjGWhBKoEjBkFJ5cF+7g5luLMWUGBhNmWMK0WArrxwTIFNK3u4ywAG7Ru7Ca2LlOlkcYuN89Bag
kxSGeKKvYEIjc+E92WUvnqWonDsOO8NeFbjz3/gA6wFNfyUj9Bc1auFHuQtJqs4c+F78nObGn2sP
FVeLP33RF+z8BnYPm4x581DiNsGC8kWrsl0wuft6gVhZ0kLKRV63Sk7NydA2iiAfkFDgTFASdPAs
qCARdTBKusmWXaRjgp2wtQ96FOVDGYUza01m9k0Nx+EWx7Z6q1wxUXnUT+WN8lwIrUjka7pyGHEm
ePC3nhT5m8xGbmgxjIviVpaxTrdsAyl948Q2CSxfC0nvEB4DHK+X+AD2Y23YTJq8lQkym/5L6Cou
Or0b+gWBPt6q4P0aSWY5xxiwqcuJnZiYjRcpNTvadUL3qHcaBmpizSh5qjTade+Kqp1Q69LK/sTr
GVVAWYt2CkK9c+lOcuHib3KwcPFtZy0puDyvCJ95JMB46OX+wLNquuczQ/si2hneo5iWBhKFxamL
SfjTz3EaiZS+cCw594LtHQp66J/KfuoeximTGdPU/MJq3NWw/iOScvym3brFls+SuBEwZ//vuhF/
b0b8X/+tJBJ67f8zeeT0s/3I/wiiEF9f8ptR0SUtBIIAM6BHqgzq1F91Edf+xWMx5eF6dkzL/qJN
/GZUNMxfXPgjrm9j63eF7xBr+i1H5P1CrhX0ISAKvhekSfGvKCOmwH75h7J21BfhGEyFOqKNZSG0
/MGy4ytmwQz43xa1cyvCikeHAjiWrJnh1LlMKZZAljZPAhP4nla07kDWJ6PirfBr5Fate7EHW0ea
RJ5/FTWy21rXy+qQh4YAUOxl1Lg3bJYD9onerR53C6xRiCE5t05TfbdnR51kyUbpqFDy2rWqEtUz
hlM1yXUajui203wdzTupU8wSDO4wjvPoBz4yp0Dl9cDbeFYKV6jDTtSspn4cy9OgZe4TszSAKwL/
zP+zHp5m2bQKQ5kuXkCZmRwDpvcoY224xZ6FD6enZ3FFP3t07A2PPtEki+USrVDwlYxsvlCFXo7Q
6ShsxE8P0/VoklXRtxR1tJjfp9h80MtBOUGW+UCCmonnAfxTg8D04OguRcxZPIa3sQt0YOvEMyMZ
Fkz2hxLPxHDLqevKsynsTpJBRWte11VGcpm1x4hC4EYtXbf02Hw2cJDOTHEJq9lkas8VbDwH2ySO
p7WAOoVLYkinBzj+hcXW1UzioOvGvGOD0C3IeJzSWPWGOvuesdioyW6ovNpMMuMvsFkwvi5czdtM
C1EEStd+1GkP3U8h4QkQeP7VHJZMeOKn7biVUq+eTMtCfUKTGMOdgLtzpEKPYg3U7RECSObeZdy3
v+ucZ8lWodbidVUjL40XeaxGh1TkW0YI86VRiXrxIsfGY0Rq2kN6gGFA44vbnLgAY26MC7qbUq9h
sKo78m0He+ziCaBBNGIw42/YOJ3OiKOUZd2TbK72TtQkd7KwO65kBjq0oceYBKh0hV1H1GS44K+K
CaiBrY9IU/20eWBQfT07mOYocBh5CcLZP9i9lk6bxknMcIMdyuC/M8R74xLDWhVCtzJaE3yqf0Rh
13Yw4ORx9tOozeFqUqx1NkqgMmxUDxKgQbSGhAXi8yihOWYb8juVs2o8QrUr2k/VpzDm0d7wLUpA
mXpNhoKkMoZA02tUEKLoYs+3yvCu6Ec2l/WUDUE28ovR9+CDYkDiqYm9ml17boAi/VBLQfLBKzTE
hNBRcMXytCpx19qxl634RBcPvp/QHu0qtjUrmsFMzVxJG9GiZvjIoRttocYMLkF94dcn3Wx83o7o
HhN25b0u9fQZKDF9uiWkUjex53Pky/w0xb0ZNKMZNuskG1x0T5rYjDujTarndiD21vNoNpx+AINv
sfnmPlGUD1GcbrtcTv0uDQ05Y6taCp2y1LnRlZcQj/dKfeAvwPy30qncqL9ZIBnOZo8NZQ1uoFBH
DcLp9EyAk1BvM+FZA+IxjSILekVPDopAn+IJKdIs+RZqTXw/qFJ8y4BosnInFhAfBjag822S5ca0
NvjIqMB3avxBgxeNAB7wr1neQeDbmClAURNKlqalz93U0XTSWJ2jAjXa08ACLTYVEedu4phfhTL2
qC/OUFA98pgf1VjDL1xaXXXyShNgYZ1P0rp2FLtKx+G3Xf1Pp/YnXdUKo14x1ldp9t3OqKF5/P+H
+7LPnx6n+ue//Y+PH0WCyV52bfK9+/0Ww8WwqQvAlhj0eQY7wJ3+s0f95uNH+/EXNiF/uXxAUP/L
/oNq6eQv/5v/Y/NRfJRff7RJ1D/9K34bDaxfiKCzzDNsh/OfH+PfRwNAVAiCukOOmNXJ7yPGpg5I
nUQBLhKdHxvr4r+PBvwRaxaGjyVvsHxL718ZDQzL+dNosLDfkbu4DwrbdNw/r/GakPB7BO+NfOST
mqob/9EIoiC2UBu4T669dJ04gS7vrScei5RZzOmTbJIgKV4oDtgky8q+t7GVFu8+ca8s3seFXCkt
cD1urYQWQ1kcYg+bDgy4OoIqksDweEer2mpTK6h6eSCcCIdkurXga1qEvLxPQDH5Hkd4b16iH3G5
UIDPE6uGcripWrUOxSempHWGfzBGHjKw5aR0Lvu6cemLcjOBFc/jiSg/Bx3h3/WIUONoO12kbZAa
XcRdOL+MMd6emUlg+Kb75ZPs9DuQNfEmIWPMuD7VW8lyxC6/d/mtgCOyUuAsV/RKrSwsKFQfY0NZ
aApXQMIPUQ7f2moDfTL3ixyRwYLkMXG2RoPOobq+lQrlqiFhqTRtK1L9mkOQHGsaKaGR/+QwKNdl
Y7/pqbbjn2nbV9EWCiDtlUNgyyyY7GnddkxGoiULKm+spLt2wroYofU9c/GoVfysXCCdVW2YzyOC
+GIeMAt/S/Av5WFKPiIWboEGxXeN4uQaFTUuTp8uTttLLs1itRhvfvex+TsbYsNggP3D2Ll87vSF
z2YYABeE+NOKOOt1CUtd88lQFU9tp1Vr25ZXAqz7GAnEMXX8yq6g2aXc5fWtU4w7x7BPWAHUZtIt
zKiSSosw9A8iyfcQT5BfhqBNwcyqEGdMXwXjSMTVJhQMzXnToJw15UlX9g6z9YnVh4F2w4NyVSfz
nZPHe3yq29bwLx3/hDCtP4H73DvZG/n6AIFjjZ0qiNIswLG6JsdL/BGuUyrPwN025lhtSJDuWX9d
W6cN8JhfJ90/Czu6GSe1woK2w1z5mNY8zw2xm/2jbbwLAgOgQY7c1S56xRJPqyJYLe5IRTvvShCF
Qd0nZ6+8cZt8hwUSO4b3reimfZ7r+4jqNj5LUgehM5/nscPdGX5MtRNUJSMJ33ClGOOW1o8jx8UL
joxLWj6abXvTgqWUxvBYju9z6oyn2pyWJiKD0SRknNFi8Ke00Me1sRMpb5FB2AEK875BsNVHfsa+
mG6jSYU0S1ao+pC3Ts1ABaOY/4mp/j8YCZZ3Cehyi6sT9xNuQ3+8nPytFURU2c9IUy9cKnZha7w3
bbye+/aIsHmPee+Ck+M2ku0hHcZLQmLJyGQTdI17zhC4Nv+HvTPpjRzJsvV/6XWzwHlY9Mad9EmT
yzVrQ0iKECfjTOP06/ujZ1ZVhDIr8hXQD3gNvNwkIpEhp0i62bV7z/lO2lbogLybWCf5LelOcMiQ
kHR0peL+syJb/tdvN4PtL283XAiH95sFnA2Gg99y6PrBB9FWtagoN8OgdhrMNbpxCKFBzwx2UOst
Fh4GgcDEt4Av/Sqyd3jviZbR5JtOO7wqtnWMhdZRZhIv6wEUqOPwzkZ6UOrJjlAnfaXb4npK+jsW
1i1KimOSyrtK0R5mA95ao3+LrPEux6USGm7nYw/oViHlzKqxuzIYXcqQpNc/SSKXAPs7BZzbQF09
A24X1XCK+/7IpOqiskPUWnZxFTNN3oBNpOBFjWFk/b2tiZue+cJKWhDskKYg2Kzuh0759AhoWruJ
/Wkr4o6wmud8TrZN34qNpX1WgibriB2l4Aqiet/QhJ3JSoAQ/sjceWuQurBCqjvEyh5T2IoQ7KBd
9B8DGUkxZaT1VGB8G5J4ZzK7ya3uSlWSY9uxe1Qq3UHX2ykakpJYyqe06R4YabGOm89zVj9EyXgj
9WL2eyAKs9LtDDJv6kjdWXVxh695p9LNBAbxEarVnYi7gyTC0Nb5vqeWb6dwoAp1X1bDEc2srwv3
LtdQ0Mnc9qXqBZ7mrROo3mS1bnj0l6omAkYG7DLJkxhrEixl0DmwAJi1lpddOAfthIaAGbFwmOC0
z+l8F9rGOqMSj+WFB4gOodJTwy3c4rdP4NGC4y/yrZvNQcxMHplZ95nFgAY6+yhVE91h+kJSMnmg
S5YQdAJ1PS/5QthTu6c0d24x0DQrKk+s1gNB6xWSayv9qIVJsrv+CR6QXqr3ZKK9DJXyG3yKzUIB
XJFze1mQabHy+vLY1TjBZ2uDpOsuH+xTFqUXpj4N/gwct54tFGDEM4TkCnql3LTp4IcRvjaRPRNo
uTPGcZcTS4zSjIChsMsfjLh4Bmd3OTbGo+hwClv2szXX92MuoVGkcl+HzuesGxehjO1gaCUSX8K+
KOcduuLT5DeRK5AYzZfZObSzvMlrygunUd/MdgbkNzSn0pjeMgBxwBy7Z5UuARMjSPGJNx0bs8NA
6B76JSXWUJNAyfYZlhD6OLj1NbRjcXoPnflZ6pJI1/E9JyYNZIjwNfS6ysCIBBxAbkPdskLEosPK
JV+6Mb2TLZWrKHuZQV4QEb32IJy3fXJrIOybeNtNRqtzQlIDdwxfGz0940mvEzw0BF9r9SlU3vvM
/UTi/zpGI6e5caNJ7yM1dT/JCYKLLOsUet9zxl+OF5jKdeNeV9q1ZdwU8pT2ybFRMBcY9DGNUz8R
y5K6D/nYMrSn3z/TCrDpIpPWoKffs2TaFgNSgvbZ8e4H2gcg0bHmfXrwBjX9RUZ3TpRvbbdZueYt
E2/ov8OplDqvi3KVqieCkatVPF+qyEmcCXQ6e1Rim3ucPxYOrewcRGKzP9xowwcnqXXuGM8diTf2
xPc6059d75iPqJrFrboQr1kridzTs7VMLD9K3gcSn3P5OaYlB2HvfTQMseHw+K5UZBJCM6XR/a0f
6H5KL6ahW8KzrDNs8cAWmcGsOq9092mcYbECoA13JX9MJiUKRn0yv2H2AF6ouH5JDNIGn94FgS33
cVQ7/pxq916mvJTT9FRm8z3hbcc57Jx1T0z62gBoto+6TASFcIvAsQvp4+/5KOW8dWdn1yl4BAEQ
rVWXcgrO8p1i1pgjgTgMNKnzdHjrmBZIrWFcHsL9w3wx28573vcHb4i/u5O896BRr+tU36XpFPkl
k1yE7HkWhA6GMtQ6ftp398ACKO3ygEL9sqwYmINORDkYdfbBRKajlc1VNlSsvuZVXFvX09RtiT7R
fZOp8gZg+9ItshR/qD2YExbGydb0OiQdHHT/MyYBlPM/ZVpleceM6K4VFRjjmvwZ7jGAjJLBJ/Cb
kxFrB+4NUm1volFRhcgJHIfIokJCB1dcPiS37/6nDq3/LzrfVU1dDnM/VBL+W/f2O9jq+i3nmPrn
x8sfD5PaP37KP0+QBjBM7UyDQkL+D9Gdo/+NY+VCr3JodLhILf4BqeKYuCjx8KZw4LVsnWPf773l
5QBp0CJGXQUCHzjwv8Wo+qq5W4o3h+a1h2GcC1G/FEHgffXRQFEW4GmiCB85vsQbDUN7NprbH+7T
n50nlkLwnzQsDJcM1TyNrqyDmMzjjz8XXFGuVGVltWGAyA3Kb3+a8Esh7d8UpbUBUPGSq9a6G548
gyS6+QZ5tbqOjWcRUUqBjx9FtbELffcXV/X1AH2+KsamDLa4vD8ccsIqKT07r8OgiqcAs/5e2AsS
iyJPi5oArdjaUXJCk+0N5sqVF/X+FC55IRGS8w5uZnX76wuiZv7jfXJ1AlUsMAemt3QIfipM89ip
6KZHYdDOMt7qKUtYYZknWgrhzRjHGM0shewv0ctmNdrzgQy/fHEeEtCZ4XGc4wJATmHdhp0mLgzp
hhfQY/aVw1llpLNoFMOrM34IyKo9weR2WVzZAIvBDI3wFglJWYEvW1ILA4OTi04h0JKrRDyTX5P+
Uug0+TApI/nYQHHFFmeSNEIzLU4OtnIa9PI0hzkJGKZv1v3acqdAUaU/SG9VqPohssOtrMvL1tbB
TBQMdZ+nXNkreNvm/l0pLmzGfix2xmEhNOvmLvMee9k/gZwhUBznBgpsZ292j+Eg9+5EsmtPVBRn
vbxFMdBFt7N5gJR5LTB9zeq8dq0pyJ3wYMWdnzF/9kJxOVnDHVymAyqnzUh7085wL8u829QpyaMK
mAc6Qr5ug9vCLi/N5qqP7Q2owJFcBRfVuEDPTuImsKlyBf8fYMUhza3Fu7DXODVIYGIaTr+oY5G3
SmDMaOpFy+3hYzzSMGp25sa65XmuUsXYyQ724zwswdMjXLDG12pQBTd6ge6cSjEB7jMw5efsdago
LbKeABgyX5TkLoNQoDTXU+VsUBe99RxmTPMdW/Fr234UTQ+SERpq5N2QwEL43TFpip2rQflySauk
Ex6hGLhW2e1BdYevkZMrV1PNk3NkdqNU6YACYSQ9CeHqSu9C7wiUuPyIjBo8aVVx0/K+QvA+FuI7
zJ34Vp+j8s0DWWWvDGv50lBuJktCnzOYdw7kuQckY/2+HSL5wnyC6CHDi7bD4HhIXBEaPNJCJ24d
nvJKCwuiz/VMA5dNPzy/Iw5AcsJtHb9rEJDSSxqnhquwxzfc/GJH0BT5l2PdR5yEquTSkMaNRWF+
28y9c+rQ7/3/duz3/5N27Hl7g5r4w6r2h03yKpnL5i3/w654/mu/7Yqe8TemqfhA3N/15r/p0L2F
wGhoWDzQlS8SdTqnv89bdTIBln2Uf3B9YrhiXfz7nogS3bRRStGD0IylVfXvNFWtpaH8w07lwmy0
DUyU9DXYl/Hdf9mpeCuVUivDfifbOr7CFeQx5mu1k8iOcdRcz7QEgsF2LioNm+LcIGgM0U1pIeJl
9Kl5MKcZgg3TuXO17ko3qC2bpn/t5xHNWnqluFho6AAp/pQbny14iBsLcWXFouFVR6K7Kc/NWbw6
bfLWGoq2mVTTeo5tZG6EDWFxzgXHbA5sTKbeaw+2pJTjO4HlYKay2rJPdVqTiktul1/nz23UHQtb
tiuC/qK17elrvD1opaoRelNmf+reHO6xP4on/E5q0HVDTtRQEoxTvEdMryPbGe7a1rgyIOuKYgq0
EsB7AlAHW9n4aReaWE+VCiJ4qJ45bEDxz2iUMeMjgzp3SGGuZgTi2UWBlD0YOvmWF0nql+NMxFOH
aRedfuxjUyNHZBTPleIMx7JNURMnde6HGC9x2Kpg2VsVo5NQ+/I9k5rcjn12CcL7Au4YUS9tsh0N
u96IAUJmaibzhcRWVSaoPOs0oa1jOydIFP26ynJlCZijs0B/ftXXVvPoxkdbz+5HWdZ4XzGictbB
CXBbF5MP0vCpgxFH/1JrrlKkHgc1bj7zPKdqNzdCnR9RJO56Ivmw+YOv7TV2KoNwZlqKXRj0UoGf
ZQ0fwnQn1iejvWnEW1THHzZZZ1qYyhXmwRtSUh2y0eZbnnW0MomJ2VT6AGqsVtJN6TA01cxhOcCr
N5GBTifhSOLmxr5xF/1aY7p7JeV5G/SbfARNKY15BF59HJIYYAHkafXW9nNC0KM49gKBiNwfHP63
YQwx6SS1dSsznMSNN6wbPeOq1YNKKls9ZU/ZRJxqV/HBNmDr1DjNcEBPk6mcPDfajwC3A9cBNha6
Jq16HGm1WYKnz8lPEEWnrodx3GA1AOKj6UgKe2dTNXa4i1OU2OlMtwUh13BwIJ1ehyC3UaU54aWw
yVtGAvugl8bl2OJQcvue/zLF5bqKmneTUfNaM8qHPl10n93w4tD9+M5OuKRtmd/VJrysW/3CATV0
N4P6RmU2Jms0TbCP8H4G/Vjvibc6c0aOSd+Rhzpm12TtFnSIkm+FpbvbVsitJlGzlqr6WS8SVCJM
L2rYC2vC2yiJeDdTEBJrg2CIlYXCYSdaiUIQzGNFfnTKvgzR/BvRjE/QdU5jz2yFngNKPF7AzdTE
2lVT6/QqGh1wXRIHeM0Y+pN6qsm95lyOs4FSvhFBO3hkbxMuVzrqzTi5vGcNyuy11XjPLpKLiXy7
Gv3ZTOhEq9E2M8X0NERbL8mVd4IFdeYEjJ2PyISzrTPz4GMFbxztcZJMb2zLPMTi04IpbnYymIE0
3ChqCQ2BJ7nJzcELgB0g0dPDN+xonTftpabugFwZVxFhWng1nFMCwmDdjM17PofxJdLuadOZlsYI
B9/9AYUbS6VLEuL3CFyqVTaB5G3MyU1dV9XwOGlW4PQK8aqgj5R6k/cOuYnNukQCUKjNDS8hvRDu
nGLNj/M4u6caRyidNb4ONIRUeTKtkXyTQT0NbmVQeiR3eVWa4P4WDjoJubKNA3gHNghphsyq06xx
qLgbiDCfFdIMftfuzcg95SJ38dPkOSSTdthLyllJZjgBAogo7QPzq+eonMxhbcZ9/ADdvE6pvQ11
WyZp+lkjbWTF0bX2cYAF+UyDgNChKRH602Q5fYuoQsc4jlORWAcjS7dGQuz5nLt9AE+P/Bjiv+jD
2eUG5gvoJalVnxVftd2kyDABLmZJmFS41VEhlJ22aRlZNn7SnX+00ZQ5GCIX480YKgS2uWVB67Et
S7T2jb54c1Iy5bZq5EVakHdKgcJN5AyxekN4oU9z1qo3UkuQQEuM3saawDWXYX4fHlOLoMLWk25g
AUh7h1KTr+RSgSGfR51cXlgownchFJDjoBaIlLKCPqGCbezKILwEs+6ksWvUkTi5g61cYpiKjliJ
k/sIp8ibobTIviEBAZGJOg80kZbLLVp+82GQIXxDWYXXTPGTLavGs9cbRKTmAv1CrNbWhu1arEg7
fCu8wTrCZ5i6SwfkPxBfgnEC05buM7xOGsdYDnajXusWi1GWPPdFqNyj1ofYZUpmVHI2s5uqaNx9
mw3Gq1VPCEFVotaClCHCPjLA/K8MdGIPKg5NzgmVh8wym5Ir4ZXfMI1U95mOpbXNSufaTGkhzWOj
7MtQzm+lvZxjBVHq60G8WJn55PbaHIA40f0pKz7H3sNP6UpmTAKVFPfOAeWLPPEbN1zcDbUWEn7K
mxWkCkofsDOBLekcj+CTV7Ohk9wCZuPBG8hSDMFAdkUfb+DUgpaNRar4thEW7+AIumE7tg6ZqkZR
TfnatNh94KJXb6QBG/tZtO29jgklUBuLdz7LQ/uo6ZG4AWIx6iZGa1HN2h5TnvUE8YjO9pjmr3UL
fcIRfLsaY1SI/tCkvLM5dOCvQ3AvPZXRjxqeNBdtEGYs0i2c3JgZfGaahqiKGXFrFJwqmjILzqVR
PE0arJf+W9W1nGiScesmUY/UfKwfK7edmdooKwEdidkzW8DaS6Pnc8n6P+0k/Zdox/+tYkpYpqgW
0CzoBlWwrnMM/lWtf/n27S2Lfyz1//QH/Fb1u7S1dNR+CJ7xk9LgQsn4W+FPLwx+O8x1F0AX0gna
NH8HQjp/Ux2Yer+TIl3nn70wQ6dLBiNZUw2o8pbF7PHfAEK6ywnih7pf0X/ntS/yzx9HgaboeA+z
Lt6JwSEihYu3V2k1RB5gjJyvl0Fc/YWjFO5WGk17UDsc6iVxjgQukrZzPVRMqhBXwir2nVE0j5D5
5HXrudMjWqcFvEOibLVpIKUjEaaJiy0+bW+dTDXHtZPmrroynJllZkUJj3mHsSTNHwAFtBfSGmZp
7/ZKte/L0ryChWUcyBwf3nrSZd6rOLPaoGFSsS3zAr7eTKZKRFektdUdVBf7tZkyHHxG6Y0gHXFA
qixCoq/38AkQf1A0mKkvKy2tD6lrJ7dj5VjROp2b+t5yOHcj8B4hrsg+XLPc2y+wxOGVjRoG/LHX
wSM3xGCIDT38eDn1k3FVp1OG889QaMB7WeecxiLpmRmlRv+RWsp48BD9HSD/RSdcMEVQu4l+p1up
fFLDBiyQEucnsGz2lq3Zo5CBPtarI7ZUxaYw7Dm6Ue7g8TIizC86NjYXzViT07/XZfxBBclzVODf
U+bqds+cPRvmi0qxjc8l7elOJdHzewLxFwl/VNUvs56ZN96C8AviNg1hzZpp9ABNh2QoSVfoGLPI
X6NSHWnsjxU7r4wQvmUiYeSTRv3wgNNZeaQzH9PFGBz1wZVajADNpngOEkWoRwAQ+nuqDTWRrG69
1vSOyQfqSwLdC8BlgNSL3AnyCu047pfuMoW9j2vGoFvj4E5r92Zee80q04ruNTdhcvgWav3vUR6O
9xAjmRO2IA4YkXREgzkhAUQlJXa7xrcshN95pr7NasIwbogBFXVAuG0Bhd/rTXiGiiiTK+gfI2I7
cOJmkPaFYlD0zc73AnMfsh9RW+G6SotqDoCeCg2cI2QlzLpN9TqbIn5W9Qp7YE7S0U1ujUgm+NZM
VLpAxoadRQBUx2C0QcmTmKDaUeJIrtPgg0Y/sab4ZGlx3XD37eg5J3D4E0SIMx0aoYffs9Dudm5a
S+2Dhic+EZxSGuP0PJx5pUarKzdOQ77WsRe6dslsCSRLiLFqjyus/ZAELAVKU8nCV5OcP3MMUi41
JWGX6aX0Xs1ynilo4x4lsTmGFtqEKX+ou8j8NpEJ/kJKZeiuGkKBK59pqFhrUMM2qapkJvHyxbCv
YocjJhwqh/BoBYu8T9tOuGu1zPAyotaRQFsJBWX0Nrnfvb6xaeC1HhHqjrAovMbOuVVl2CK37ltC
PhHd3inCa9+9xmqfSJ1Rr81xnjcW2aqln8cjBRmntP52cWc8DY2F+sAa4KOBcN/0AsED0gEIK2gH
6FHkukf4CvR8kuyrQnAvQKQvKuC+eprAiQD/yQA4QHMBCUQqT7mnLCO/Hl3STFFf5Cil1KGMVzFe
mVWfOnaA07r/8Gam5YippIMsYJqxOBLafUJsGbsbHOJVCAVkGrd1pFgoIYW6d9DGFqTeSO2l8bL5
G4O3yMaWpTJopxC9kvQmrjxOpfFKL03nNORVctdDEcXD2NvaXh3seWeCDjwl7tDftJFudyt9KIBl
gtB9LsvYCXriwDbgS8P7TrLkrI08mjdpNqDSsLyKQ0KncmacUea+FslQ3qCat4K2xsWWeuO4l2Ez
f5OTUbrrKQbwt80yxo0oriaePd3n2KAtHVUvzDCyFwehxwAPihPo2hrhubGGdw88HUTg6hRpN4g1
2nWPk246KNY4QNhyWwMegJuWfpgoMlurrTHQN0Lm+y6YBNx3puQlrFXJMSAa6vSV9kL1bNUDaou6
bgBO6tKEaGDaM3KHMkuZRnREeiVbvVKrxzbV0uykuyTX80gMFp1INWvfUOi6X8TpBHK05/Yv2t8O
npddocHf6WJgQNqoU2vcVHXVXGG+pbc7FN6U+SQQeddN7Yj3MY7iz5icB79qVSp2nO8Yj0lTxLYl
MnebokKEeBaV4HonlK+Qup1kh5lcRr5S1uPB7GsUU8YUioMcegLqLQTMwJDLrrwmTLBvfS1qI793
YYAPFdxMX5mUbNvnsbrX4PGTNUREF8mLmjVuasNIL41Gg0+klwR9IL6Ot/1408hxjlZx2ZZMCrD+
X05pVQUyz5loqECKs3Vt5+m7U2cFAerGxTAmUFVSIflbJVd4W5VO+2QIdzh0ChUHXImOOXubYdpf
lYOa+FHngP9vM6t8IoiMxgsugJ1jIxFqBV6eCYwAoQ3eBf186oes9sxVXHjiEBuDFvF1aeqMNlZo
qSuWnYJ1CFVjo2H0hj+pld7KVUnOFewGbNQJQ2OG1hfRXI7rCQQeWsa2OxWh7MFJIdExos44GJ79
5jSD7c/SE7sZT+ZO79r2wRgtYwcE0+GrK/Alkaxnfq8TlEgkEvfeUSIG3KCmliO5hG514GzBcHpK
5C70NBrvBvQDQgCTdLycjbq7LKJSRQseZlfCYiEP0qEg/ZMUJ6I/6KAq+EFtAlfWca9o2zadcFPM
SZ3t56QtT0ywBCGfAERdt8PA6iXmBaomRhNJJdtnj/fMb4HOfNhTqBeLFKi+MXMBizBXIVN0XaEB
LoBLTDqM/s3jhSHyRitu65SOZC3mxAyw9pk71eqqB5UzHshSHn9JBuEz1nVkk4OezS0qqQgeD/jb
6yLzcBkknaUGdLxKpntdRW6wx8yoq7v7Wmd8MkZadQT9NhIRk06MYDJQlq3VOoEB1WOLWWRR7uGr
66i5dOc1n410WiNNHR9sEwrRysKQ9z2M6/gmDxXjMpUVgE1AkfSTBowRbKCllC+9OTl0PmoX6YEB
RLJWw+jFATUGUjDpx1fFjpXXjCFUskq7dHysvNTexm7l3CyyvIM3Dtkn19scifuY3pG7w+mbq6ml
PEsaoHp943b3GONyNEbtQE6KQUoAeitrmm7dqHE3DuOwx5nu+sZBufRG9C6lBuwRIGBdGyI5C5sO
Ar9eG7STWPUuNbD8rA5J2NwmcAtqypdFqdvNgpVKB1snggqaQnJwUkWWWwnqN9xXTadG5NKOttgI
LdauUdUieHSGHncE+UXTJunzXiMS3I3gPuuNe4GSd87XpTm2ZI0NHmJCl4keaD69ZjQXTkPzMpCy
k/pNEqsohWYRXiW2bpA+0tnxnjfEm9eI8bq3KHbY1AbL1U5Z73D/gSuZoArzlPDNMRePphnXJ/SA
LZwjzkOndDI9v9d6HPa66lwkreXeaCOJK4m2hK/wFhDEwr6LwMvRJf7ADGAZJFxJCy8huAmXBwTN
IoiSJSREU5aYF/cc+TL0pL+QekOHMAPK5bK9ndtwbBX9lX4OjuEpABIbvdLZ2tiJT0Lo5G/O57AZ
sjDMzzRXPMJoPUV7gDQ9vSUuCTUuFigJj2BmJwe+0i2KVmAuq1rWYwXuPSUCpe3idbxk3+hRmZy6
mTyc6RyNQ405g+Z2k2AGjHsr3aLF59iwROF9sDdAgnlxzCVrx4td3FbnAB77nMUz1PpJPQf0UPUS
AtOcg3tG5nIAZiKhfNIpmqnRZLP3znE/cw/YRAkLWJCOwdfEZF/2ebMJCaqXvCCiQyv9mJJiGIS9
Pa7403gsVVFN66JaAoew3xA+xFsFA3lJJMJbb+6NjJSi7BxYhEl9CS86Bxk151Ajhx8ZPRAhwjVp
S+5RNTguemOGwZ8lXNpTY5CQS6mTEesRArxXUmVmCDrykJdUpY4BM7Y7g6ilEPFHuZqweflRQRaT
nFXexXNAk7VkNcVLatMS1EyBv2Q5KZ1GqtM54Ck8hz1pS+5TrywRUG4M+SA6B0Pp55AoRLrhoeSd
/pjOIVKzqUWg8hYWpkF78AIpb7GvOpUBw7hgM1Wlleu+dtIN1hXiQRu9DtBCAtwk3XTemyl9XkVF
0+iVsD/kwujkos0DTVeVOFwInh48j012xnpanShBLoTYoby+ZnKNntEfGWSdSnNpWednXGh4Jocu
DFGIPyLQKm+JhnY960LNoY1SwYWBDoCUOtXbqnwng3Khk5qeF73qDcTS6QwvVRgL+9FCNI3a0rmN
Zg3MKaeD9DAs7NOZuKP1tPBQxxFGddxpL5oq4lsrgZra6yNN/tC2oKkvVFWzEtEF7umM+w5z1Y2F
R1fKgcRaZiqGtWZGfwe+1F4qdChJZAMBcIUdvsBco5RqdiG8YnHydgllaZCdAbADWZm8RAaH4wZX
AkquBRYbGbPYl2eErLrQZEto2BtKOPtI4rB5Z/6Gnm0VJlhMtgYb5u0qSu3+vj7zall59b29QGyd
BWdLKlX4Etv6zNIWSogtXpSwusiFhisKNb9G+x4fjDC2j725cHNr152SlWGrAHwVQ+7iBbELV3nE
p1GkKZOlOpp8S80VP1YB8+K5mwD8yLS7m3SRPKBM6I8eEPMPvrvaUTsDfhfUb+OlUH9txivKShlM
7Ulf0MBCy9K9VdvpFcKhblypC0Q47xgbJPI3sjCQYVHIJeoX8HDo1ij7FhixXtmVHwpzvFAWVHHm
8EPQm8Iw5Y6XWAdAjDw1bHUkwAy12Kj4W/xE7cQdUjb3voulAmxCVowtKqwGG6xlFVIgfbwq6WhC
xaJysfAcxsW9lmvIns0+PZam/ulwGGRXrrO29UcgI5eTOQL/Z/sM+iwDZiFGc3iEx4gcJJrr0t0w
Juy+ZeY4rf+Tw7mooCeKnTGheOhEM44+rpOSWS5y0JuZLUVCW07Vdv1/pdX4v8mRTaYL3bV/Day7
fMva+O3b8P179WPvEDv18vd+V86Zf9N0A7+iYyMJ+NIt5J1AvW/SxDM8dwH9/92WrWHLRjkHxc40
XM82+XEti0z8X/+BLdvWcGXhVlgsXYst699oF34JUoBW58FXdRxVs20ARJq3GAx+MBBY5RDGjVGQ
bDHkBy9vt2zR4jLKm9cOVOTKdFRyxDn2po3kuxEtyQLqI0kZ6mXZ9s/GkL7IqiEgdZ62Y9zLHaXn
EfgLwEybrn2Jd9ivIaCsG0s8dy5HLtXLnmHiUIhPS+VPdJ5EnjZUjM2G9OaHp/Enar2fhYHnX841
iIhQYfI5mmt++eVSllvQO6Xpj3nqa7gls/CzaKojcsLfXv5/SaL8+kkmT9LC34c08Dc15M+3kYan
5vRkHfgtNXEC/CYtFOxiqGKryP/1L2UsjdyfJIjmEtWF/Q5lB/9ausw/PjJC2oacFUfxC7v/cMLa
YQxRPHXTgqDytH2IcWst7D7zYfFWvtPLdq2yuKyIhIjJcB66HYDWLXi8F/6v+6LIrxRLn33Lap4j
ZbgobedNj33Tqmzfssv3ZsynNcdTACyIuSYzQnJBts8mNFRi5GS7h83Rrrs+GwNTTQY/Dqc3u59f
6jp5Bc1C8yNDEvnre/AHVxe/PPuxakElsGxLO4tffnhtQw6F8JUUzy9ddxtDqtXysV5XcbepCN70
yucqt98UuIo6Dc1x6QeYff5NkPH26wv5orJBD2piLGNaxuZhgn3UFhXODxcyxeMY5RH9J9EhKNfq
mpQ9xXl2o5YcNk18CJldmClYaiEuGjnfl9Z0i8nF2eI4FKvc028N2dwtRPDRqrfE+L3NafSaT9oG
5tjpLy72qyhzsb+xCLHNMoxYJEs/X2yRYsjJujEOVHWGEQt01lGHe2gnd7ViXxH3ed/Kcg9BbDeP
9jap1UclRmEjTWh2ZLg2M2Ed2rxyANaARKMOt+37oWrMv8C6/uHpcp0gPpmxwPIESeF8GWVgpXfs
JHEUv0/EXUXndEOreyDwYbwZFooDJ+dF166uTLszOSnMr309300583jMar++aV8Fv1+u5avDSrUr
TQhHhH5YMISvYDN5Gn5wGmmuvm3/8uPOa9KP3+7l8xBG46/lSTmYYn9+Ro6xRMETF+QbHccZooWo
sTs8m/nAW2HeaTBvNu6Ul35fgg6qEScd7XjaQ8Z4dSbQymlKIFI05BhWveJ5cRRGrbfJ0/Z+TkjI
JYxHgOb0kLNYya2XI2vFd44DdL50u9bcpTbcsUor6nXTYxrRSy1A6XgBdgRKJ/pEtJn1IuiJNiFZ
easK9+auc9UpYJpBuzUv8Qs0kRF0DEZ//SB+XmLP3k22A4Zr7FVYORc78k/fNEMVbdnxIGaMwrMZ
bdLqekxdP8v/wlWn//FrQouZkDaCCPkgY2Gi/PhJ1syEAIBBHBgp5+Y++15YaC9Mt2rXs2dIYnTj
JyYpd2Y97zs5nYxJfwndfElwDF8bulyF1X7j4M+oPtsxAbjvuuZqLMX21zfkbEr8+VX5+TqpH368
TjX0aG8CwwRbb19O2rBBh56ukdU+h2zQK0ftya7H2olOJm5XYiyumpETqFvVz9EisuGgrVzbZqsE
I5ouXGpJf9W0Te7joMqYebjhNqpt8zCTn/ooBxPVUt1dM6vpVyZNL8gYjJcUvYJv5vHBttqT1jtP
uLpqU6conjqq2CTHTNhJwjPLp7FL3xjrEyhXDdMr9emjPrv0/agcPvOqF6SvAt0KZR1d4JuaN1ks
Hn99z/74ElHtWCZVD9s0AdrLo/9huc46j3LDQG0XWSG5WBmLYL9ODABilb759Uf9AQVM9t9SczjA
ppDh4YD4+bPGVK1ly8ySw95sHKScnwj3Mi6qZooeiTEyV6JGKFVMV230GTlQOkujrVa6xwY7dGXj
z5Nm81Cs5qh5019c3PLZX14dJtd8a0kt5Nv0tewTaa/lFtBcP83FYYIGaClA+R7+4g58rVS4A64K
Okh1+AwwQl/uACK8SPa2iMj7jQFnO+NuspLMDy0i+lA1QoKRJ8YR1RvTuQemVrdWa5BWWIKlMAsZ
1HMOhrVJMD2145HuVHwpFCz4TeiYf1FQ/NmV2qChMdHSOAB69POz6hgSitFKQt+1S1aVhDBw1JvA
/WM8oSoz0djhgBdeuHr3F/vLz+N6ljVUAbrt2rZjsStbXxcbMm66uYzK0IcyjyHAYYlhfOshgyx0
DHXMG+l6/jd357EjSXNm2VeZF3DCtdiGh47UsjI3jhRVZuZamounn+PZBMGf3WCjgd7M7MhSf2SE
h9kn7j33v/lc/qv/pg+LAoIDNyyag7/+tFGBQDPAsLwlm+IAhIXgQlVP5xpI1NZWlPbF8CUz/dxI
9yNV/oe9bmswCoK9ELE0quomnMo/KXHaVhWACnr696/P/U8HcGhTTKOG5hD2Q75Ff319k9FY5CT0
xpYZ51al7SHxkn2S8nVhPeaDcV9Ij+QhGiebRAh5Hhb/HS7ntO/95K1tFoCKvvsAPuhPKuW+mMy9
0FBPjEzdjX52oB3nqqpWzG315XPf7oJB7DXBvaeK315qdzynmdNs8DFu52lo9ugTfs/gAYfZfbNY
8uAU2Os227uCLEntwFX49+9A8FfxNk9FaPu0LQFFLt8dFFF/fQdKRQxHaMlg2+lglTLdk217DEpt
4BaYcPJGfcucSl7Xk2Cfm/ArgIM3eAi6XS+6h74dH8DqcBkY5LSBhownu+WCZ8EbougLyOzZFhFh
35YDXrDDQYObDuzQiFFv9K01Ue4qEO4IWyP5IMyJhYYIH7UTvVm2uraEs81y8otSbgN4i9vRZK4D
pOZbspTdMtu+aQe11bxQyyxu83y6mtL0KoPejNLL+8CxszXg9W7Scjz0vX9dsSdr6EF2U4R5Es/s
snehRO4mp9lVhmltzHX31BdoRK1s2ku3i50JIS+/dba9+mtsxW2V/wqWaKf63//NR8E7/ZeTEn+a
vyIkaO1Q7/zryTD4ZVIGjUM9ZsfNcvQCCLUQCojZ+3ul+b+t1fp/aYDCHOTf6q6uP77l/PF//qsM
3v/4q39XXNl/Y0RC22uZNo4GADb/UFy5f2OstpbLP9bDf1Jc2f7fwhWCxzFCrcgVxwv5+wgF5j83
Et4MDl0uQUYv/5MRykrE+ZdnhBRGHzUYgV905qazxgv8c1WhLAJcFrZz+4nUT3drtkIerK6Vt9Ca
mJZ4vfUaNtjHYVIG+ZUCkGmdEVP1p5Dt5GPp2uq2xfSDXGbEKcwVGT2hcYyIO6kQCVwleFvli+CS
mDeGUYUvNJA2uk3b3k6GY246M39oXGd6Djzithk8avSf5suCzpDzohyflFcXT2Ipy+8BENBtaxbp
0WZxc/aXRZ5aUQx3RTblYGUCjzjHLu8L7MDSWIBm4uKV3oyJruzRjzFCgg/cDuF8Hw0JOHquh7w6
223zUE5+sTxgfIat6suleKyJ5tbbVLUagEFVRGdMGBaaIgJCQLK5ttQnNJmIHx2d1N+GEQ6gN5sS
b7dTgMe6QgARRWed2EGwm8lca+/nOau/XQjc6iCiKdMvhiWib/bQ0+dijZV1tNuoIakzAJMm0tHw
9yqK2hwGK8kttx4K//G8GJ7+0ycBW/sJytt7ztriqfKBXzuU7ve2O5MWmabge50VBGTIGll0Hvqf
M6lY+uQgOmCGnbRYrHPpmwudcc30TLfV3koFgG64aShAoGk9uV2l3tj5i2+UyO3XZHbBDf0au9IO
CSmpwKNwY7D644XiqT+AKR3DDZzU4sC74lpxDy5mk3eNRjyhas4enWHCAx505ZAIkb0vPBwPoEkN
YGWsjAHxg1lj9UDWziKwo2GOhkBgsiyN6wE3PTmUTLkdiGyem9n2geM3OGOREyiZs6+h4GlhxJOR
YFkgxV+USB9DiBcbwk6zjZnzc+PD9GP2SrBphDtVH+ZKz+0AEv8ReRG+ko3LQ26ZZPy8yxoHnULv
FLOD+nS40FffqXFMJ8TikNXVwUwR6W/7IlIXvy8eavoPlj6tvPK82btfBxhvbZurazFCht7l8yIP
TR+EX21hk+2WmUb+S7PHByRje0Rg+mjZBIWjXajNAI41+8mHRsWEcrg+d6VjHIKQMNPNnIvuChmd
2rJbfCDlzNypynKZvmAk3kDBe4Kcrt9aF/W5WWued2ainoy1JqljH1ZJiF4jKZYPj/BY+QpGXqpY
TZI8nVLCVWJpZozjyQyQZG3GYSGpuipMVZ4sG/kvLbOWv7pRIT4q0IkTkOAEerpqZuqPrcxGwotg
Xjty72a+3VBujdZt1yorgGvQ+m/A8cko3IQiMJJDgl/w1YW9Ydx4bge7SnlKDnuWnJa3dXVnzzHT
W8fbj/M0m9t04oPeEIlN/ALbOFFON24TiOGasMoxjS12l8WjivhTDzIc0TzPAfPC156nK9yYyGSY
GgicX7EaSfaOyxkN1aZeMHD2Eq2HmebeKfQi0TxmXTWHCAf7KP096rm+0nnF8NdhqFgSOmvlLyy8
BzsmuyD7nY89snEnSVooSVljsJb0AnwclrmAGOpCA0JlOVggbIol/8Oap4kL3xnFLknrrDvxZE7k
DCmb0iFq3ftWq/KmLD3v2zcmvNZYxjE8Da7XfjpR3uL/kVmzTaSHzknxWxwSk/1c+q713Lj4tTcm
js09C1lx9My6oeJFqRAHHuz5eLEiD+WGR5Q3YSSLRMAFjK+LhxRDcMyPiKNK1YnBbzoVo88pYyqb
gkF50+zIr3Xmla9wsmbkHN443wyIOs5l60TTpqWw23EOCWM7ddF4ZG0+XuuowbBqhFBSw5TQitTw
p3tvGhCsSNoDDMDSjcfeS3FiIG85JRhx6MuR1p6sZlYXjHCIJA10sASpOq9F7497lsekvJSRfxrU
KHp2ol5Y7CbDJCFS0IM7hj2lbP0NsexEuAwHPFTRVV31RkwcGpErGe3BRrplfWug/vgwYa28K/rZ
l05a2ckn6mpvtjp54LZU4aGxgu6pslJcfr1yv+0IIBS2knGvvfIx4lgiWbEJIlIjdPWYDu5EBsMi
63NDBrl5CK1AHEkbdfBGaywUhGSp2HN77cReilp1H+Z6aTdd7r8JrMvNdujK7pL5M0QTcss2paKZ
ZFBirhKc4j3AHQzfAkgtEB57cHa5zkPyI/LqiJa2YlOejjde1zj4X7CmpPvZ4gdG9WH9JqzEuBqS
1JGxXSKrucL3CEm5a5fqucnHPNgkU8HdVeraPdXuoC9ZJmEzV+gmcGqYvXr30Dvea+R512mTRbdl
m4Gjt/zwi6u5vSJ6tnuDq+7wbExTfSY6Rlxwu6FSbWYOKs+Z2odCEVy/6V0d3fJaUNKOZENmcGPw
eMMUebADqJLoUet+m/jBHnzcbz+082eSrojySArV3/DplW8mKhQmzj25uW3PktlGQK2q+lvjMLmT
RBTfULlMCOTK4heSsDZuIkPJU1khtyWiomXBXOFusoLJ2VoYUu7NeuWCFkM031uDsdSPBOoaZ9ut
2nfbKnnAhDss2KCrpgi3ZKIBLAr9rv/0G+2+d2Gt7ycSNZ2TJ8vsVzUKIW5nt8/5MqZu+VmNXf+V
OOhMNt1UwcDtcMOlvKtplNK46eAxcueu5HzJg3ONhFhiuGY+umHliUyXf43DzDSCQG/bShEOajf8
Zpb03r2b4sj0xo6TmQ/XegFqj/Wn78OlQkOJGL6mMEPU7k3qMC9j/8erInrJTPP/TUcOf7yx1yey
Zeur0W+Dswcp9D6rKr1sugBB+dbLdfqcszY+yKboLkom5sHEVX4mnYx/CEpp/poyY5akFXVcNjNv
ThcHmeYVaslvrmGJ0bFNiw5awewsH01Upu6umaANwZdJvvpuClwIuZq4VxG65JfYGF+zO7R57YUP
HpGfzV/H7FeQyL4B/lveNkyZHyhM5RYLHr5PV4WiZl+Xow3n3xQHO0qrd6AIBd83aAt7GLMK3lKm
ceV4Tf1WYkMTMVTg8iObPe/iIlr9cIah2+kEoQwFnpFcREWmBeNkLzsFvKSd4MycY/KFKvyoovla
zKqZ0fUH3o1CngthHCT0g6zm6art6vKpisirxndceTdVqLRiT4iSvGwWJszkI1V3nPqQmdogWo4U
O4gmGdKI58TK13Nn5Jjs7IiMwSLCp9ciXsmQ3aeQJpxpbt5DlXLVhEa03LZF4wE1INzxo+8rbHwy
7YAANVl26yDkchGVFBbSwJlFIBnNwXTdtxb41A4b27NY+ugJeU4WxnQCyw3qKfNIBhb5Ssy83F/A
CbR8zKYhumtcqGUIdp3wu6e27NHAmHMCvmpyCTyaPSyMFWB7hUDhSEiB0cdZIAHkCN6zo6kiDa+j
B7fmWW1wr5bUCDZhOdqPLFvrbe2L4UUuvXpkIh3ejbOgbpNe093ndu/pvRmRgElJYpgzlb32STXS
wn/UfqTw7i4E1ZArP996TpN9ATp2HlDTIn73HRQiyE48NA/aM7458RDr5J2PYSJMfxN1UG8phbxn
IMYVdj7T8B/MYfRJ70wD7BPSUTETdYYkTISjs/Sr4C0L9HJXmK3xWRHy/GjOaO0udtcXK3g++IOr
XtVXxLFXCQlYXvHtwF9+WcYJJuGS60tQexmesECajDgCnZZ7X7YwulTJKXRsmsI/Im01nn0x5xrN
WN0d8Lv0lwKxSBzMyjTjxqudnTUPsDxLzCRn6KGjjHFMzK9LCKEc/zGz8mAOADRJbAEojKr6ipEx
IWeGUO1uLAWhYaJD3VsMvyazX3kqldqSBMbQqrSb96RC0sfVVJ8nCcdXtTUnjyvcezUG/c4jMhfq
3YxR0+Tw2jiGfIEVEW7c1oYC0lfgjbroTxUAUfSd9jSRUrNrwj7fu2zlDiGZ6YdEzcnvxKi7W9zW
nH9zZKSbdqI7xHeCmYbM9pESAUH/pP0bEVXV3VR68tSkdbfH/lIerY7E1UYEw9eY9fV9YMzsL7CY
IOMngvTJ5e7b++HYHcnnEO+UM11cRfJBlRzN3cALnZeAKDfELZtAVwlp91od6qhlWyyG7mqwSWXw
DL2gwx2/6B56RoYEZG64ibEvlCO6lQbOMmJc/A55KsN3zEKW2JaN359HHhDsznN7aRviNl0E4+eo
y/QHDpTvpTaorYg+X69TurEa28TJn9v2PBv2cqAFYqYnJV2tQkp+TbxBuZOB58RNiZCMmEh7TyyT
f98XJsrYZprai99gXDFrCancqJt0G3qteesteIlyI/WvnCp54rG/B7d50dNAWNXo3jFIRUzo5Uts
ZWja4F1GGz5OjW1IsFhrllReS6Mvszidh/ylcib5agrEn3SfaOWjsnn20SV9qDqb7pDFE4hi4se6
nnH7H32b3JEqYZV7MKfO5XhLp+WNLdltVncYioGAH5KuPw7M8agAB7SSqMKHd6rOJCaF1vvVzZX+
rJfuusACc+nytFiTYIhuUIUjPu0oMT8F5UYcDlO1n4cZ201vLBdNetBKLB8eC8l/2wkbAGm0yvuG
tJeGR9TwTsVS2DeoBcanPqA2nwkZIx+DCT14z9A795atdyUQPgysTvcZlkrs8yiYLl6UjI+J8HL6
nN7cAznkdsN1sgcT4b+GZYMimoh6IEW61Yu5oxq5Y4YYNDt0x6iBK0zXu8Zo8OhU2VD2sW0DAPNG
q5GIoF2MDL3hIIUuKJ620kBrzvq2Dwhen8IJ41JZ0pn0TLR7bpPv1jZGTNh5MR3TRZVA8FrGE4Nj
E9wRGGkt7oq0Nl8S7F+U3/jGKvzH77Y0/Fs7za1vIkMqa5O5eJA3NZ/DaaC72ZOYRCMRLJN6yZpp
9HDC1rZ6rOuuLI+gTcMdNM6+3oV5s/zSsvbIDG/0acLcQ78wOeWdxYTVP64Dkg/hGRbSrwXot6sn
X8eO26+0pLI3Hq1uNjf9CP6Y+6V+lHnQf6CS4wDorOJoe+q9TSt5ccjGK3f5IFCFjMxZ6Otya0sK
g/fUBHMPfh/37bUgW4XRKlrxdmd39hIcerNwjD122BQj/ViU4QteLts81NyazoZYx7VkFFdEte3V
2Ka8EX00LACXTbTqqY7MP7U5DTchsTmv5lQEhAxAxhn4Y0H6S5UKsKqIIGmx43cUI60pPxtB6hRP
45oDCMVd+1cFgW/dpZITQUuLnIudGo0xnplKHHoneIuKBsYwe0qongznAk4kBcYTWdByTdPZvpPN
tlT7ccS1lQkwRrRmxlMdJuGV4S9dTAmJvGEg0IqvnGpvOPJ999IMRXqLhcj9ytMhfGUyY24M7iMq
6do7lFle32DIab7cVgDzxK7oXE1YU/ZWJPPv1KiN5NiEqSLvU7YZYcOLg74xI+LIo+JjYLBxarvt
Y78ePQvxdz1es3HAjY2+QTCPyBtk3CEJci40vnIYGfsLAi8chKYmEddrtIEi6o5yGMczjFezwETS
0Yml+yKYw/ygA21u28yDIujiHfvlJM1aKrMl4c4h9OspYxzoxQkTy9uS9oVfLchujmXBg7nhns78
c+MV7gfRMgRND1JMcTbOGRUOV9TMvpAIIFlM5zGqV6a9Vb/6hRX+WgjahSLZSuSjYe7MQP7csItH
p5uRLZD9tVc5Mmoq8Xyvl5p8j2QeOtq7sjER8KQ9cnJPhuLdbeb6APPFJ4+rhMphl0Vo7PtgCLae
ChF/Mv8w2FSjafDdHB+Roub5lXZG1x4sfyDIofGdu4IlyzEvCGXgCXbyh9LIm+OYOE0by5beg1xn
CFd8JD468RRD1KZrCr4khYOwfafJ3mkOiV0YKPzHPilqxDFtMmDIsdIDMnx3wvyUTG/ap8HiJwm7
l2EOCBfxhynipw58wjvtDJU68MyZAZrOqJKHXFpPJMhJvXP70KdOyIRzIS4Rp5jwdPphk9vB3EJN
KzdHWOSeFdrt23MUsEROy4Gmi8eTgKcMDoVnbVxzEr9YGXWHorT9MwORQO2R5JcHprX5d9kU9jV2
KAwteTZAXi66oPVv1SB6LJ9e+tqMpgYuMSc+PyabJrjmRoDqV7kDdNKRR+XczwmEVnLhcRIPWkRP
ECfp5kFbmiSqWeknXgbiRAbbbuwrzgk0wMIkYhTrEaF2p3Bq2vIgQqgHl7HQw8Jabwq+Wm9on3Pk
3jRjquChzmxGehtYEDPxXz6zR3oBI9tlQ4uwpCJAXXygig5g8bTMSokGCW/QTuHxRzTbcGCnokFV
xfm/bLOSNIqtV/ZLEOelxcDGl0NjoinS9Q1r79UKO2fTm5+kaEpwVLzxTWrtq9Y0h4OoRTdcAZPA
MjgaAesfw+nEd2KpVO4ne2A5nCSl0aDRJpGQsemUF8+YgxFLRNWCvn/oGz8euSahd/jReHD9rN4Z
dkeCtK7N+YqoLvRidJGGiGt4AGK35FWe7mwJJtyGNF3D323KlpYJlGiDknEg/91NrscJUnjc9in0
ADMlX2UksIED1YQVgZeO18CKb9obmL2Gq3n0UPIY6N0XkGQ1czTVmgyTusDnHFhkFN50S091n3Oz
0YL5LPOSNIXpHTrEUWL1E2TrmKNgWASehbAPY+qS624oWcjmhfVHZ0b40LLCZfKY+j5GiApEvClT
1vSezGFS4C5qy13HsSk2ft8Y96jVl/DFVsu8E75WNDBp33C5WNrY09a7ENHJ93jPKci8Xaps9ZBP
IanIFK4NWWGBesjycD6yQZV6j08geKnVUF+WWYuXtJBU0mVYp3d5s3KYnGRXqSAAccwlsktWwbdo
ek22ypSUHyx0jO9K1fMTTCRQVrKa2PUHHLvzJecqBE0Y5sUNPeQUHonOYZad6eiLYq79NNOweF7M
CYM4qOZuR7Mmz4bFsinuCciCBpsMDjJ33+ZQzd3fltEg0ElmZz8xULgw0nHj1PGGuw5gP26NonKs
zRKMyxE1rnjom7F+SBZyV2SKt2ErbWE/tk3Hmd0vuKEyMtGni2yGer8wXxH7ZQwAVxdGxyTKqjtW
qIk7OOoY8vhCyqm0w9xSyTG9YdiAVQmzLf6yelUfHzucdqxnJIwoGIq2depn+UjUMoGCkzV/ECG7
cwwQr7WJ0jJsMEl9sZBp6AQa+xc12eRxt6XSf8xoTTa6ysIanpMvnmDehk/UomKJzUgGRmyyijIo
24AJ4Tau/hAjSi3qtMwB4rAzi992R5ZzDIUoR946MewnqwesIoDPFewKoKMkCLf4DyXV//bm9f87
SoZrITP4p3X4f2bgfRDJ/tHJvv34Z4H73//eP3AYkWlHJhJ3EtT/spy1/4Y21zKRRodAU0nM+ofA
3bb/Ztr8AsEfthMho2Wj+/ftrOX9jZwyxO++g0IFEeT/KJHdQhP8r9tZF2l9YDmOE6IddIN/2c7a
NDVTbxvTbu5rWx99diTbCbYEnkfp/hFrxRoDeYuc7RStw+RQaDweFtfXJTICQ2FzT3m+S87uX0gw
o+gGstj6J8rO/nIalsNbtTgMuFys/W2QTNYmJ0OLEaSR5vW91yr1arieEow53LG6R1yYg4JLVZ/h
DCxR07Wln8BJzkf8qimoBnhFTGNgxiEoRKVS2IhfI7vgWKZ4zoIYrYe4w+Vu/SG/EtrBxLI7brIh
OjWsTx7sTBr2zUDcN9sIOaLk3uD5y27Hth6vzAb75sbLTdJh2UucWe544bb1iDm/SQoKB45PcoIe
QnDZnNSzdWBexAXTBLYi3yNhajQpqdB7TBA7rlzt0DKAxZMFhQ7N05bppZuCu0/lkxsahb9vYcqZ
29luKZFGnar0FiyIyYaBrYvfdM6VYTpI0JYu1PnRCMWYndEp0jf6gnzJzbpyBz9F/Cr0KlJE7u3e
ylCkmy6bPzLI0K+GlC31igBCIXpltaG8nyxc7p1lfHltv6Y6T1k1bCm/vR2XcQe+Z4BBELm5wiRk
+ciDRHuXMCquTh7BBETMlvkS7n1TuA/ZTBF3vS5nk9jPBzfaMCJ2mELOizEB8vapTJBb0m24WNmN
swis2o/NcYF41RIK8dqGyzgchlok+hqCxBzFnlLQicPR9u5KMCRjrMKkK6+w31fZRkc5hO5K19bR
A3tRxN2MIOBkslWucYcVisbAdwYNgXiEvj+FqGmw8NvVTiw2/5vdCDGQnSNVsp+zTOcnc8bCRSo3
MiMmIDWeC1fUE4F00sjZxzruJwEMzXMhKzMmVq39rjBWTWeeOkI5zCKZMR61Pfe6txq8ZWsOJ4EP
UzDcCMCbQd3WBQ0uI+00NZ3POrKG6Sitgam/ZECmt01k84nNrajOztjXrN3qNrtCTSbvWxXcsbjx
n7uOfX/cJ41xIh9NnkOQqoyYrKJmJJBaD8Ygu/clmn2CiTM0ODZXLDvg0H5MWo3FHQ9kbz9BaWft
bJkZ98lg1vOjKp3lu5DFcq09sx3jfKikhc1e4KcD3GSPO4Iaan1cTFFcR1T3/XFiztRszVQXb4xC
mtsoDQiJaaOavNAE+0oVG57jPkGdQflq2gXu4dAInZ4QazKCaM2lR9bGTGWTQn+3LoPDmQAtr3Cv
25qh8ZbJHSJZJy3UO8h4e9rBsudptwSCC6umjdlWiC8QHJvJi4Ej+LDAiIyLqSq/8xqbet5KtReJ
O72ySi7ihiszOFhNW7yx2uZ7gyi7vxWV18auW1SX0sz1E6gKKLf5zPxE5dFECrfr3GEWR97vRjD/
sJAVu1JZebFJTW0XR9ox99kqsu7SzaN49zIgyrulR4B9TyhqMG4Ch7SOQzRT1jDlk59TbTDLZ4JH
VsVigsbB1t48KTLrTtMSgMB187IyNiBAucqTwM+/a0+2Z4e8FIc+NFxeBkuUX42udAQFxJnEQXLj
1NsiC9jr5yPdkhbjjWwq45S4tgN5RFT5+FiP2LhjRCprvFNesjxpmQlYZx+a6Fn7NQDEaXYsWrvF
rNNt5lCLxwtlrhl7ZtO9ImELbkvNGigKlPFuiSQon0M6SXLYJr4oGwym5pakCs/bYgNhX1cYs7PJ
OfQPXjvyeEqUvYb52Q85TBS7Sneuytp9NEgKVrzHrDWKAkwhzcOae6iao+92Ht9R3Fkc+yT6nkmP
i1h3TAPJipYLpEa7TfJQzIb5JGaaog2TwIBxmmepcZeTR3sPcCVwETrYGmktkmfj4i52ivMmqfRR
KNzN166TAI8WHDlw+p1ixwTK9NHptcMdIS3iyQo55rZaTFbPeaHQnFoeC4pN5JWMkSFHjc8R0ZKQ
LhQmz03HO4+5unb9e8gphk1HURZE7g2EB2z9WfNCbBSzD6qxDS4AXNg4RGrlrxoGKogTxlGXjWKh
/F3JaRbFVgARPesVIUOJuxinobRgcU5VrWJNfdAd8au2yb5vvOhY5qn69qeoeSUhsLo3dE+ux9So
5YuaEyMCKySAeBOzGqxlrDmLWA/pcrJKN8uOnUd5D4N6xp1TMGN1N2G4vgmlTWYA/VN612XLTIHQ
Os4H9S0XXViW9dNchd11ZdYjAp9sQjPhZhytAASdaMPYq7iZSJcGfSH1yzhX0TmbBdx30zCWh7Qw
AVyKcOj0dRYt8xOTzBAaRZpxHYmsberjBNLvN1Tp+cgo1rpJRklzWBkjlJRqQQcCHhpwxjbUhIFZ
6EuSW3dO2YC4Q1pHd3PoA0c1AKBeG04bvQFD8O5T27g0PzqaAEXNsEprrB+VTbIKbhwOOVJSVhGO
YnzPyPczXQU6apXq2D+qHcRHKHgEsvzXfpX1dDWh1XKV+mQ/qp8KgujJhNdA9gsXACbk9HF2U1zG
45CK7dwWaayJ6XgwmjI4W01g2ge9Ko6KVXuU5ymWEdgLoNhXbRLUEmRKLCztOGi8bDMFyXI2moUI
KnPVNrk/Mie5Kp78VfvkV3I5TnhWIs44BRakHh1c8qtiKhUVA4Fw1VH1UowXqOeIq0x/7HdwXJBc
4VkPbvSqwyJOSHy7oy/fZDc/GT9yLftHuhWsKi616rmKH2kXIQB0rS1nUUvltYD9Bvnof7I7Rppg
lbltnDVSMWvVjJHQGt679oJqnJiQp9xnBO1ZZNvekP6j/yCURHwmglWI5vcSUZr8Eaihes0gwoZ1
sUNah4StcrPpU9jo2kYX5thLlYylOvignL8bzzHbe3LCEcTZKZLHs/sjlFORxdsoBAAwBsRo6Rym
xg3lzSqxS37kdgblHCz6HxleWTr6sfkR56nMKB7HH8le9SPfcxDy6a7OqrPHPJrVbIQqH2xpacbO
Iq+tflJH5AXIATGG9QfGfGwSf+SCgSuRDq6TC1ZZod/fqaWVp4Lo1XOZGgomy+jc4nqSI/OZsdr1
EywtMEv5DkGg4C6nBvluVxUjsC25G4LR3gbIH6miUTwaRon4cZzZGJzCMvfLj/lHIMlBGz3NKnW/
B90QQiPctrwdoq55GaYcqdqP1NLJ5vyqs6sAmXQj8IWbrvXiU6vddL0HECTX4OIJG6av9H56THNt
N6e5rpvYyWr3iwsy33Jl0ZkaoeG89kn3YTNvwqKvc/pXYWcgTtem1vrpbxkC0+t6yUDBYai5fGnE
IJ7Gn7449MkoQW/sQcP8aZzrtYlmk9TE0U9n3bs49d213bbouydq8g9rWvx4oCdP1+bcwI3IqOen
Z2eRTP9u/vTy2U9fX+BlT2/UT78f/fT+xs8cwP6ZCTARKALOvHVWYP7MDdQ6QuhQOE+XYR0sdD8z
BrWOG9TP5MF2ucolyssHogvEA8/+clz0AjE3Qw06bMtlGO5UqNw46pz6gkvL2dvrsEMx9XB/5h/Q
SBmxt2Hqnbq0m+Vr0dSSDRnxLWhG6paKEPqsdV07zXDnknVksHPZIO1TzPXldDbxQ+wcExocfDFA
MqMC8dotWcJkJWijDRxP76aZov5hNJLlIFii/aoZSpyYRZOS5PhlVsFFiAwft5ir1M70JRJRVxvG
m+z9wTgzsS/JmnWK4Hl0NAmsKCwwORatrr7MPAyY83LR3gh3bc5ALGVQDaNoelTzlOT7ikEkH6G3
vDlMWN5tXoW/TdHIWQSUFaC3XIcNtOu00zskxJ79vgWvD+6B+USBywmbLppifWjlOXGq6XeRNPPe
n4P81FrJoo46AppI0xAmZza3YPiI39nmFu3MliKD+aZcIobOS4YSi4lsgouodF07JkQYwmyj6jji
E+s3QQaud8eX2YI4umT6k6+vf9VleQ/bDSaIouwoxTFha1pvtcz3o9kEzmZG73ZrmxRDuwRqhnXu
Ihzgezpi0yE2yUjpqmhvfDisajlEaEvfvZ4LLF56gL80G6YrICEQEUyjFPnzc4uB0wUr4rCSgAEv
v3XTeictIasVU0lAsPTaY1ZzzC+2AzTIm33OmoxIubYE24NziRg2m21gGSP9QxCFIrR7d40muRUB
MjHfaiUCwxBtl4A+keEdyf37pe2r7txUNjHJXZT4QPZE6e+YljIYH0axMoSR39kxGqTpNqxDEByi
V9G3Ig7nkfHvs1zVxEAg/Qj0PfK+ol6CPSRzdGqZGZ5nlr/oXhr4Jsyk7wAimduazWbLrt/L8x1o
qu6hTWDdO+0QrGoF1X2lPXPufQTkrj0GfbkKCGUPMHbRtxOrO4yutsniz6sEexkbFeeH24/mNudz
gKHlorhG8UFlr/wrl+SyezaWhD7JZLxGgnQRQeSRtedVaBmaQh8z1//q2B3cZb4IQBSV42WUdEl2
Y4K8yql4te+8ogr/5nEjyOMHdeir71yr4tQlTrHNFUzkIqVCniz//7J3JtttY+mWfpW7ao5Y6A6a
QU0IkiApkepl2RMsyQ367hwAB8DT10dnZmWkb1TEzRrnIGJiWxRBAudv9v72xSUP51QLxS80td19
wDG8zweZfqGmqFm65Iv35JbvJhkKQIWS68KpgZKxsIu33FYcy8bsnhJwMLEMJhnx4Ny2rXJiK2/8
b+ySrUNiSsg4XXlYmwAgjTeWxbYjunBf1NJ5kpa1IHEKTFiDLsErk63fR9klhE6Vdb0Ph8WcD1UJ
t3jHQ1J/XUePZVpTWn0Ewywg9rOn6OqZOlbRpI3+XZQeaS84QEl7hZN6aGdq+hKjUgx9SB+QVNPu
T115rwNnuQAdF1dIVrXc6nmiKgz0sH5fCoUcoqSCRO5RB8+L8PBn2pCKPNW49MSwFQlFN8n2c4vv
lTHLWA4srzlM3ohDHZkDt2I8K4+H6AC6o4g6PFw4tYhjPQzWEgNnLONmyGb8Ox3Dj9LrhhfK3Z4B
xaK6aP7Zc8ygB3pgNj8CJwuPQiIP1EuxfrbQgT827TICQ0HmFPVo3hmam6MFZp/HJZObWLTVUdvE
A2WV5d2NpQsDvZwDIA2YgSh2jJp1/dgmUeoPAnEv/enou/2bliZi9gWVMcGV4rEK3eHQo/F8qNC4
gAvN6gCdQvnWV475xtay27INlBcNXG7H1N/eo7NjfKb0tmtQwFPRiHvCxFAe+Xl+Yh+z6Z1lJN7P
vwSUeRHyZfdmEba1F2RAbOHK9rsGsRM9MpGmUqXGbuIw3nuhmUe+l9a3PKiKHbdM8In1zTW+XPZ9
hNmI7bOVPi84r6c4N6f52fNmtddYjvl+hKO4Q3EdeFcQznLWlaF3PHHJHnOaar8MaX9a17Szb8ja
7QaoWu1xSTL12UC29Sy8fkBZ36/qZZ1Cqr20dD712ENjNDAmn+oKf9vj85dNOmB1rIr0hGag2pk6
09tJCAGtYS39DzJq3j2DNzK3+Ck9/OHfEUslMc+H9rFfNVsmspAvlYO8wE3QbRccrIglGqQbWdfG
V6xpVFQzArvKv3QiqS1QNhPY35A9Cg9nLfIbs5TN0Tdl8N0cnHsjoexWaP8oyJLl3nMX2JzGQFo5
8k4YbRPzI6ONs7kYjt68Mpta2tV79bCsgQdn3q8yThKy9ggxGLoYmmFF5jKF7SWZxfKBJd15KcvZ
/KHlaNAPhOIemWhceGIdLp2xlPqahJNRUxvZAfX31x4YhNqxjJsPlN7Ljywo6vtSCfvQT1O/kyzC
lweTdF53vHr0goF8ooXIJSopdDwkCZo+W7uyyFcdBTQtD6ZTo4cWjcWh9zcX33/WCn8Rdm6ZeEv9
Pydun98bwIjy91uFf/6zvy0WQvcaQG4iLnK5ga9D/H+4vgjYYT3A0cXzlTgexhv/XCywPQhNHxm5
C3ZH4L3+v4sF2/ktcCis+YlYtELH+bcCdtyftIx/OgMDZElEm+H7shGVBL7v/+JSRVfZdIZZhoeW
DMPDUMKESHN6MpIUsMbTwkUinVnUFU3sThUchmydX2qFaIdm/FMqgNB0eRh88+iiT7ZTu5/V5D5Y
zFQ2rDLuEkpfDuAEq9bcmntRK7qkTCavcEjq81Aax1X13TWfMuWEU48Gp1qygcrjItMsmsieqvsi
APmxQfTFeaQ8/PgrMdcskL2t4ec8LzsyewAron+bkwGppV66syxcWB+AA2eGokkRI0zzD0YD8fwQ
KkpeWHjZW95138vVaHx4olcxxZwXX5Cmf5SZT3JAVp2ZLxIDzfh+aav3fCYKRuN03irHVdvGXX6g
OYMTkKY3yRW4hVRfHGahvY0ykvqxQGNGIJs44DyoNj+VtzIXYD6lhqLpSStiTay2iEXY9q8eOEst
nGPHRGSTjLiYaKn8bYGjkwAenL0Zj0VqU/ywiDjq7pFYQHk00CtHToZjNgqZ9OravmMB+aW2YAUh
bGqmGPhFGmEvTJ/GQuav0+hXD1PlGTFi76TZdm5iPggNeZQKV2dVtDYW6S6lFwYgUlZaiU1QuTEZ
GMAMq8xsDlfBAEEbhbH4eP9N/8jRYxyl9tKvjCrbjT2k+y7zxlsJBDjnrthPS6JRsrO1oW++EWZz
Yxclai6Gl7vCrpHk2FRMdQ3k3cbRsZlGkm1qxnmIX9Qt1lUR96ybgC0NIrJarlk9J7HTNPbJGf3h
u0W6xgsi4HbXO1llksza102sSgb4cYEGcIw85KyxStYs33pmwYkX4sQkQx3Yekn3Q8V7g9IWJmiB
yA1LDabd0GMn0JMKCy+vec36cL1H7u5iU0Ri0MriBkmLez+6zYqNiRL882Jh6K2IfN6LVrd0/Ss1
P2P14m7qxuBbOohxlzfFg6xa+8Td0mxbsJfWmTa+vDDj8vEGywEpMIOINb+tWXreZLPBUDeoMX1N
mYvydDJii1AK3DQ2d4mfpl8T2BTXZVY/gqIw7QhAvX1HTpv5kAMtYFxrfbhVYh1QXtY7Bd8Eymct
7yu+Tptc2HFVtwtjd+tkapQChJdON2jag603y36nMyUjljy5RC7VD8ttN4i3LF3nHVfuE5jhlmEi
vIE2DQkXZIKI+M16rsOhJWd9PuBxpOCqujicnW9sIvXe642vjPaA0FAYYWEfTo5fbDMCoIGG36g6
+ZRgyw6wf+Ct+CD9fZO24QUESEXrNYr9vI7sQWbrUvbO99ZNw3M5MuiyOOr3wWwEh9Ya3kWg1Cm7
puspr8y+LWGomaAH6qFu7eWolFiJFCAuu64hJk+T+sqjmDhF4Xyb3CrcE9nrsYdMA1Ka8hzukfF5
zeo0hjdgXdB1ngs4YYxURnvXNMayBdrV7p2BtHpIGc1mEnJFETcyU8CHxGbkVLq62A3sALjv9m2n
hvPaWXK7rMsS+y48lnpGFUG8FZg/Kz/atd3cGtbioSWgOUEcZT3guFL37Et3TjjlR2O4jje1ieYL
W3d+YqdtEyBjMKpAzEiAzUhYTTml7HtLAmzwrAAsp7rAkoqa1b4G3UC3L+Jez3iuqmsQzvwzE8eb
F/uTv4x00pPEYs+SGXHV4ILIJCms+KGu8TrqZ9IOe5PsRVtSaKppuKv0jpCWK4+MQjdLd1OApXdG
frOBmN1DAGTABIEIdHnuJFEY3oaC4GuQ2iXC8+AR5ONb35TqACCeYVNGhPbYfKRr+NQZJG1qNKRh
zN47jeTiZUOkTHd4GOvk2M9gR6p+2wYkgk7mvT3kIMXm4ME0OVZaQqxqzlLQB/aMwb/7cNaHephA
MvBvLKt7qw27eFCmeew8Hg5aSlTdBAe9dHIqGGUl3UeICnLjGYrsgIUwzWA6TnTuh0rgGhyd7Blp
fBoxkUUHBbhmoyvIz9gRr1lp3JjhwhLCqlsVLSsq4EwaBtH1fjw3bbZbHZbhtZ+eltFz4751tr6L
ChwxJ+jcxGraMwD58C2fLExqAriZ702g7brmibXAHrUuWWQOqmGzCTlLh0ncY3x59BednWy7mDdO
EhwJh5y3sK8uc8tlFv6T6tcxUoYuDobHTGxgm7wU19wIZKQHPB3bqzY3QCq+B9v3DQ2AYtJvPQnb
/eJkEJonCMV7VwXPxjpZ3/Xgv3GmBE9MwX/8FGn8p/D8nxWefyppubyn79V78+0PKk/+3d8rT/Eb
0i8qTJdKEhCHRxH592hHh7CWKzcFpCNoDvPKU/w7sxHgAGolF+CAh7IF5A/l6j+AA+I3K0QfE0Bu
9kiFtP+tiBfX+lc+yrXyDG3qUX5e4An4jb8AqkrU07CC1vQYpGl16VzZEiqkJnXpOdq3Y2LO284i
UWOxmc9a6DcZ67CMF4gNUZyOL+hKjD3i3H47+YXKYWRbAKdZGmKjQbbKAZd+Rr7G1jpvU3HvNWZx
gxL84l+P8fx6oHeexZA6CarzkqIdln32IpK53Uh4bsjJJtZvlqIgWMSzlKg7x1Gz9xjToNjqZUye
O61tIw7FwnZR+WvfbLOGH7yxdRZ2EWJBkuLXLOF2yzGjxGadZgXGMrf9bJCzAVPyWrMIlG8vjp8F
n5WdnlQ1rHtwJ4+jb8RNTlLY4niMERYRYRtvQLNWMO1qDggHzvpyrZJGyqVuHm6zTqIi8IOoa81h
M83iZFQ55WbDAB7xXYk3Z1wjX8NGt7L6Rq3udJPI9taHmnNdK1KoqXTPnsaOCqYCO5SsDA2udV02
CX1qJu3ujbQwruFgONmWAuR7eHUJ5Gb4GfkCYuWfBeIctMslz2V9ydwluUUpLbYY1Xis1iSuA3Ym
wc6Ie4yZ77Mr/HPBMbeZFeEFAls1uVhVRFoG4t3iKXXrcFtJ/BabMceFtZQZQl53epgkMlvNWHWr
u7F6CvpkYqZSfhrL7DRb/BmzsO5gOwRmMLz6QCv5MF6zFpoaNNOQ/KgddiMpOAei/Dp47JnffvbR
DcRTGVIl2R7apWI+e22d70gKQxmigjVEKlhZd7QOrMHRYHWYVzdLPec7vcq9NsqDuzIprkJ9ZDi9
pbw+ynpso1EgtMVXcl80SVTm4kPrl0FNU2xkSbEyw2Y+yk4E4jyzm2RN17sWdgGOepLE1poJp5qG
+yBDXxkOHfj6BXFA7hCR2EC1SFDeI+w2dx3a82iGcLrp7GW90GFRkJFhP54cMlJYYuva/GYFzQ98
t+s29Iq95VhbhmybZimey+u8ZhzDnrEgBh1w11tj5YhYxgfABNMuVWp+GfNVHG1iI1s2/LulGwuW
nX16IMoke0LS+Jg500ciaAxSUsj2M/GI2FO4vUJagcSavvw8NJnsdyCljSIOBjdh8RnwQ6/LZaLk
Hp3yursnWXYE6sVM16yo2jf4Prp4MIr0bvbOiV5ee+z08Vp4zT3qZAMbIPtpcpECRRx0E3wuDZec
5+UCM2GJhpEA9ULLW2M1H5c5e9apljd8aoXJUJ2QlNeyIYvouixAPgcbpyNGtV4o2dBB5IW/4etP
svNk3pYCmds6LWf8nsdZmS/kt7JIQXy/rW37MZXFsTcNVq2d+WLnaGqJxWadTwOs9k2GL4FAQyvu
sUYigXh3E4NBVaXWKPNv6+wOGwFwkRVHknUIbWTKA+rrz5M0r1ZKthruGAZPodfs0woSB3cs2tNo
GRcqJuKaAsQ5DJ641RkqqH0Q4mZAyeAXek9AwFwAsGU3SqafI1nVY3qYLg2KwMgUvaD99EPF4DGc
ESng/UqKU7OqtPsERYZoEVuUHcFBDYlIhzal07q1yYieadNzF5zGEEzjziGQVvMIzUPcWyn7aKDq
2QIkY7nKwutVoBiYiS6Eu+J6OFjx8LYxABHnzjEm+xyks3ig27FwVzlqR/tuPZI6Kdh7EWJuxowR
2D0AqA10lBQIuNqySz5YcvUEgYcV6iWEeZmBpwH0fzQV61hF/jSZb0Ri5XA+s8binCA7CsuapN25
lc5gP5ZDz3Vp+gfGgmu0FoXemWrpAMY0yC0Cc1/4w8sw3XpEb+zSxDz7QdidXVIOaHONJFpyB82/
pDGH7V4T1rNcd/rpvK1RU28cF4ERkSVfujLU+6XQX63GQSEsHRryxSZ0sdcXIPM2E3X5kfsfECnD
02InOE39xd5OQ6ix6/XuBu1WTLrRA8Hzj0ULVpPh+72Flu+Q1b4XpbU0d2Pv+uSdzN4B820d5blz
SgLjEXNZGXm5hUCRbyT7g+4r+kLj+hmBrlo6ZyMzfc+X7GW1uvyHcHV2xLiBwbZq15uiHAij1+3w
agXmsi3gMfzAHsuWbExZ30Xqbx3rz+71P9Xf/yTU24GLzSDw/43r/vRdDf+1+d5QAP6++vv7v/t7
6Wf+Znoo66j8/OvM0WGq97fSLxC/BWC3PQAmEKf4P/XdP0o//zfqQd+8drtQuYl8+GfpZ/0mXOah
gY8yOhDgZ/4d1tRVqvzPkSMy6RBpkc3skoGo73tXyvjvQVO+a+BvoSpEeDGWe/wf6JBSL8cRxdN0
aJbj7y7P/d9+8H81I57FvBnU//5fPwvJX17PtSz7Cik0qdx+gvp+h8ss7DlxQgiPsVWqlL16WXx3
Hbd/mKymI1x70lsyzAgMH/lbCsD8FIRUBGJ8XSVMOj3ZTPenJJi2f/F7UWX/eh2YcsJnRe1tU4dT
n//+OgCdzYEq10Gs7eoLIaGaKtcImLqJgz24pzBcW6BNDizRvJq32XIWcjRPf/5L8Jn+t98BE6Ft
kjMJAfo6aP7971AGPahc9GZxl8+YxEqVnAKLOIU/f5U/+MTZ1AewqZDJowe8/vnvPgGfi1xkaxHE
TisOokRt6BJLpXN0nL1mTfbnr/YH7wkNEe8GEqbt8kX611eTtrRMNNZhHFKp7rHLVpti7Oy/eJUr
XvKXb1XIHXGFj8JNC+xfIKx2wvqVEaofC9yGm77k9COo4nGq869//nb+4OJxZHsooXg/IDZ/eSFh
IC39+fVNcPxvaqP4oXOWpCX2WqcoL/8fLwYUDDO2K65bhn+9dvPotghDXD9usaFGFWFVlD82aoUV
4vJceIc/fzn7+ln8ehWxzzgwCWlIneCXzyrHOLFKP/Xj3nBhojKtvdV+Yj6STOQdWxhHFAq9t88G
bR8gNoAnQ8r94VVOQzba3D8W5P0wCq6nrVN6icXCtqfzcoIKEjwQmMHu2M4GZH/1x7H4GUVXBwOY
opVZZauhVKFRsLZU6EzdzcJ7kHUtH/78PVp/cJ+H9OF2iCSLtvfX7+O1o9ICJXWcNpl9LBDoH6kL
TeoT8WKw3+uAXR8bmf5AjExGsl3alKhu8BeX+o++r3hUbGoEUhmcaxjD7+9BSZISfrcqjCvk/8fZ
zS8NzT4q88z7Cwztf38lfDScH3bgBIJr/csrgZtVGhF6EPtJXkfzyPKGPOwvKjPt3V9cWo91169f
IFS3BFBcRxUO6RS/PFr62nIM31Z+7IaTvYM3kwOZIafINr350QM6tbX74TnFcrArxoEwPTjffZR4
DQVa2c6adVBXxYvvo61Vo/CexnwS72Lqg4P2igGSVD8uT+hE3VsmbO1NCUYjhu8G/KqzxmLeV9BP
mfyixTBrfzya4RIcuowZWSibJTZ6hepe9vbOEeQa8BdN6nKBrj2J9QAZLa2t5DxmhbijJ5iLSGVg
4lLUp3QjQX6HuqB4v+4mjtCSqE4rGDELWVNYK3r/WDITeMud1b1jEJEfVsUKwkAruRGh9E6BaSdn
q1i2ZL8CiUq6+piR2xMpQIYbVNrdMzjC7s1G+vxORmGwSbO+sRl39GAXWtyAoFqXPQD26pCbQ/Fk
wBG7C8yauLjZ7/S2lDNGo1k7PTq1KTnLKUtewS7l8VT3ZMhpKEeYuh3aseITOtMQjYfRejfFIO+c
UDoXv862SLEOjmvUh2ZCBsITILUfLTY66C8zL7gxXUfd0XKZm5RuKFa9LGPeThcFE3qnBFnYVq0A
f05Tm88mazRELCEx5wilof6M29FORj8aIXjHVa+n75RMXBPtNLdZ1kBhqEbr0g8JyCvh2OOR2FX1
yVLN9CpIp+wRaSE4JHfNDF8p21g9iiYcXrBTusdxNKdIs/uKJAve237yYIQTpAOpIw2uywD0PAzg
U6tGGVe5V+fOFOSwEEKJq5nP2yYZES+1ocR74pUaeQP6NvoFi1avE+IziHFUQczQPjtZb2KIJYru
DtelKTYBDmyF9NlUAXmu+IIYWS3S20B/CV+1IkDq1aEh20ymWSA2KHgPfiL4xodToZ4qNk7s0DLd
ISGRyalmyVNhOfsBkAgelTnmTbpFN8HaNEDvw7akHJdbu6zRh3iD127zCigRNmtzk8Eeie2VAgcn
hV1/EPYB5xHGp7ENXdkf8TD4Gyctx8PEPO/srUBnNgV7m5j4oKvrBn3TNmiSC+siQHVOi/x+biCB
bTIt4ZdlweDljIOY6AENzddbW0uCgqz+hKtC3qQQJJ7gOgEYypf93PnZs22G8y7PuwGbKr2QNtp0
H/agpwJh1ny+c71NUeDjP0E6iA+oGonba1PrdXIC/4Zp4vcW/8AuH2VOfdr3X8KEDToFqtMfDUtK
VgGFzcZyugZlrELHRkDUbF+VXH3AQ2di40NkxUt2zEiv570KIsNUXr/DU8W12lj6EMDo/FY6q0jw
m2r9MBUmCiI+4qfEd2C8kVS808uUxQbRYjR/GWpvUQ8PUPGWA2rYOpZqDHaIMK19YDqgAO0QPy4F
4rxa7k1CBM1u9lGIybFwmeecUlgDN6ql247qVdMoqBQ8TpG8pMsEJEJa6Z1RLvYNHreQDDvPebFX
MeyqNHUItQWERVUukwNU25aGc0CFwl6IrDEjPeWlNW29juK4xjZxk3bTG64EdQpaUj459ZA7j6Th
SXz354FRzxh1rl63bZO7m9STBUZloyoi3AAt+TYU3o5YL8rpsx0Zt+uT3fvq3K1l/jHnPHFNtjUR
x3zOQhjQjILifyxsI3nrUjPd4BUM8eK5626WC1ugxV/PKZrWEblm3CoWzWGTkMXsEVRXP5pmWR3x
VHlHPYLHS1DkpStDuWqE0NA6nv6OMw2UZtmV9cq9ZlhvGDecs1upM3FDaos/m3BAbS4R0jPrthoc
BKLooqu9rMAriarV+9YNrzSdgYbC8rrNKuX0mMAEy/cgXkgzGHDZE7LzY/aIddO+eKZIWuOxJ3MS
Qtur9iwk+pYndhpV/ZmB30OXy1sWqMBPLKOLVp7gMR7+d6ttcQ/xzq8Y7xzK7qZ3yQlTvtrixXd3
s60hrozaufR6TB4b0J87P0mXmyJwz247sV0PDHBHjocbUI9gn0IQSv5iEcm5sPoWfbAvdOPpjTdr
7w1x+7xDgrfsfbTyzDPMlKmF2xgMyNql6V6oy+YHu8nhVnhOEstcg1TlYXPJa3yQFoOOJ1zw4jOh
n5Pcgu2VXA3CWmce5z2rKwuLm7/1ezhi6E5lOe28liuCXnn17yvReFgFeHh9mjKpPmy24bCw/FDi
6SuWGc9jAyhuUOuPxc4bBC2IdrU/vqO9whu5wHUaAnRxhSsxKomw36oF+DARSyYPnws3Yc9wUSUR
rt/yM8qZ/mTDrdpY47purEX3gMNTxA15uVzJh9zGDBTlmsx4N93XCYPSNg2NF6fSXcSYqb8nWjzY
K9xaJdwWq4Gy6MFWLUqF3gLB4RPs7ic/V/2h7ZivhwNaugH15WleCDOp+3EkE7nIeMqPTR/jVjbj
qQd9i3HMg39rGbtEKnOjO7sirqm278euyreNmTWf28BVu94VZLYvxQ0KdjR8Kmx/cCAxAG00UbUk
XryA54CRkSNe+S7ZIbqb1mxI0JBq3axraFIzimUP3Lg9BFVbH3WufrS23Z5mnVhPjhX2e2ku97mc
ytOyCsGg3MFta1nG9EraW/pDrCWx4nw2d32wEEIt+mSPGkc+rqJK9+z9v8E8Hi9WQyRLxQjx5IGd
AdJZjOVhnswZmDH5tmPSM5WtzYee7OgIc6i9X4Np3q+JQM2QumlzKgTfhGC2TabbI2A6u1j37ZwT
X7TkqHCGGlxoNDPVYiqftF9Bf1Q3OKjKYd8MXBHG4lWcNARQuVlLvnfm3ZTu+LbIuSX7ZL7MsHi+
ATseb/vO6bapVc0RveFldFq1CxOl3h3libg2wSDVYonL1njF84ELelw7wGdg2E9M59BudnO6TUev
fpnVPFxCX7exedVMoHc9NUstX9wuC0DxBjbG00l+6xu9cnJfc0dspsERyYfIS22ezVdd8MXvmvTB
gizKarwDTE0eAgsfs2q3DDKm+zmTnzrMJjizxtsMUVVULxo6HM/tdYDpUY0zTMk5yBExrfEUkidS
4ddTa+ef7RUFkp3n+QOFPULhFNLIsiZ4ihonsIkXaIi8NvJ95zfwncyvjZcfRm0Nx2qEFeNnygYC
6Kc7BBmcws7sHoZcrHFlNJsxhO7ZCn+/eAtxil1nBKewZVhtO7l/cKpnyCKgvsbS2tJCgVNDy0sp
X+6CNEx3XlYkcUZEY+zw+htZi6+47JI3v8YVj7MaSBRCz7VYD0isXpZBBWxSltNgjK9BYU/32XUP
MsnP4cAo1MmMr0HevtpOeW5y7ymFUwJNyLqD2fU9Lb9DapniPs/x2uXpM3YLPB99d+qEf5sL6wys
DfuYDywONu+t5Bt0C9C9jBPtBF/bmWDQ1K4jTilc5t0UE9Zbf1qdb4ziqn1g91Zk6av+qIc1MorF
4ANU+fOI1omnGOImWCMoifivf2fu/WVuxW1GxrVrgwNUtSujsZLFvqmzl8wOD6IGPRUUn8H3HYEv
VZFQzcXxSn53e8KL3k16N04Ly/8rJMU2RiJlBfOLrLcxm2iCqrzqseCuurLsPhg7HD29bA3waVCq
UdsiUt32RZYckBVOd02Yirul89X3oapChmYI4oFUnmDVefsp0Wtc6+SjdHwac9r95+G64bk2+dyy
4Bi/Zgye9zXpemlSi73ESHVaysqMbLyE11LK63eus2APqcjRUHMD0Q5CMsy55my7co5UM1OrdEkY
OXi9YyOlRYBMXdLVG9QwvOECvRmPgjHB1+A227Xl86ZvbTc4i54CL71zHc3M3ZZfJhJy1UCd38CL
3NSlPW5EwjMf23tEfMJjtjpnp0g+kVN3qb2EzCAUSVFqkKhV+JU8ZtmK6sRtXszBnSM5OZgdiu6t
sCaMUD52oLz98A33k1eZA0JAzuylU3xoRBN1tjPeA3qsX2eGoRtopNVB6tRiqYgrHo/RsukwSb/n
08jajwUOj5S2OPmNia3PJ0ivrzW1rS+/gLadYjSfvFOzQGBSTHeCwf0mq50WzUk1/vCXzLnL25nq
znOQfpsmQcDhPGyX0jw39Cz7gv7npGER6tGDLGvLeznQYIgu6N+yzgAexl47ZsTy1LMJ2CddH4kp
Rc5eD3eqN8bdzLNj52JQObf45in6Z/rm3JL9ZQXdvZH5XO7xQvVU//ITYiS02UiG9qzNgCokA4BL
7c3PtoHr0m86akmpCUBp/fbrzJs6+dKv0KjxkaIOYNMLIS/mvDUvXU9SfdqWzanuD9ANip3XtPbZ
XPqKJeZYnEuUuq9IBbzXYBbf4VzYW9tGKJkh5v8ESXk4gFkygNxN8kPz3b4HF+Wd2fR0GPHAr3cA
0eMZnFsETFJdxIiuzmWMs/WzDFNaj3mf3UnPe1SW8l9M4pkMGFU4anFOl1RkIogqR9XmZsy68ahq
TKwAez4vPaViysTra5ISWJ331gLdi1JooEWOw4IU23kpqJUKczx4fSMAv3veqZPD8nlcyazSEr48
t+/eVNaIt7wg9rYQeiuhoN7npiioFsvu5BM6uG2U9/ATKjwh3j+vSOQO9iQs+Lg+NOcC0kNrq/zs
zlIeCaDcNaGe9yghBb1ULW9aQragGknqSuFAHNCYnIoG+K8oLcT+a5Idu3WS8TjbXlxXg7jhdZbd
mJdZvApW5wjyA9ZTIX7sse23Tk41TwP2pJXtwH0srMibh29z6Og3q0y/NP5anXvMw5/wq3+jHZeP
IcZDYo2kQbaQMcIBLeV0Y5jqxbbFJ15WQSQPyT8YYQpnlMPKXZZIJozc7Fnlig9KZhfbNJgNNZLA
pno0mQXVhsXUMWelBsER+m3b7UXWJumeps/9NKbSAoXddrjtOaaTsoUn2IxID7KW3mphH/3ArKJ5
6Qwd4t/PuneErs4jzF+UaX3v7DKiFpcNclR5j+j1A4pJSKr46EVAnoCYu10LnIRUwyH0IWh3o39b
KqjaTUs+mkdYxHGaG0aifeLteqOtY8PImqhTiN9QIeanJVswyGGSQbVrtZqV7fpFKxdr+poubxnh
QsioC8mEw/vw5xblpQjBCztWulO1091VToJyc1pynMp0WgGW0SNfvwdCjjoLwEvag310stt0aord
2rbQbifSDckkYqJ6U6Hy87EsONPDUpjut6nQvX0y1nKJJ00uNhbG1X+zmtksd672Z7GDyJf/aPmS
+ZHTYau4hTW+PK916EM7Mw2Z7AJjhh7olrJ60x4KWmPRdHrrsD6bdurGxK1xOi6lu2Vr8lR4I8/M
UAL+TfpsXwTWvA1mDH9mg+uyVJ14ScoGs/50CWpLniofqHmLQJWvoVWt54bI9F3hE8O6cf1VwYdv
wFAPftW+8kLyBVdq+1Zen51YkC8Arct90XT+rchC9taWBohYBEPzuWM1ehpEbZPw57fL1m375GCJ
ZHrR/bI+lckEUgKCwxlLqLnThgsgHCUpyOqCKbsCOHawuhC79uDn4xYn+YoeZbF4JtYm569Bkke9
WcN6wrikjV3uX3fEbgavgPzOZI/6kFn60hOMBszDGlH1joAOodRUxL3r7t0r0YBdP5Py2ef5cxnr
YPwuG4E0ET15E49c6uCW8xt9RG7Lx0Qonl7loxeEdQytAxo/80s23WZ61gKza0pQA5McBLcExaOQ
MC4M3HHmwXhTU8KDlz3C3hCabNey6xEzp9suJ0ga2WMUGobaGnMJ34eggPIs0gIfda9eYdIVGVkS
oDtV3XnvHq3UIZwCO5IStLFGDMOubBgfaSkT7v+6iGuApru57/ithuwNnxjVjRjnnWFdLUqr/rYq
2z02M1jzdtVQDsEs60HHTGqtTRgk5r2yG4XINkCiMRqEb+SAi8mMQRFC3ML/Ye9MduRG0i39Lr1n
gfPQQG+cPoV7zHNoQ0QoQsZ5MhpJ49P3R2WhW6Wsm4na1+YCF5VSKNxJG85/zndOTpjd+wOlbs04
nhLXnI2YpwUEKarwDlVHXQUytz/mBsvFtspht3IG1wBIexMjSGK2w9kNenUIIE82LF4muYl8jA5K
2+0L8kd7B4NouBdTOLyGUZhj5Jbci5Hu9tbYBzec5eAHdCLcV7x9WxAnX3AC+mO0WDOIX0FjvBmV
yQcaLCd89PL2XDuCTITLmmduRkkAZK+KGhjhJDqifEUTDcOPwjWtmeR+sphbf5oZO1ZenbJmOm30
xF6q8MBh5YVpiesNEbdJejojI43bH5cwI1V4zqT9AkyoXpE/FeA7dlYadpfwWiZoM+vEJQFKQhY9
nsuMmtkU57hUk7z3ptY9VK1l3iCLBPzVMkK+kCh6XhDMiOicZaFCzZ1dYpBhmU7xSTHpmeO6r7de
6443SVluQXLKzeTgrqvxWJHF/qGW/qke5uipnieCfFJonDyiltU2sJbXqp5fFgl8wR0Ke5/SomJI
+m5CEi9xownpiQZNiIEOjKDMeJYTDdBRhnaJ7F7EWboQ40uweVSpux8abl2d8PJjaEZcZkcXpxk1
Js4FJ1hY/zjh4NiZA7sijpmwhXveTFEd9+GQb1w5YcINjRTeLFMV45rcqG6gb1ToOCga6YND+xP9
nVTa2rkPcSBL2wd/1HjzgsG36Mmo8HzHCB5EgRfQgLfSwVvPAub4j6Zou2NfCC6RsOFb6vgStz8Z
jo1BUJsaHHiI6b8TyJrmFPiv/F7LftCVXAcVXgMbehyc9cZSYlbB8IHi2Tmf2l4txNBho21LB44d
oyy2T6FeF8sCbhOefydxfrj0FXEUoq33kDNDYHtDL3nx5iJ4hcwXXDKRaq6w/Qf3DD6DC992nCfT
EwD8fc9Ic07V7iTpfpfR26jDhoOMUdVgoJbB5NkGrY7aj2invIp3i5xH3W2xHVlfbu06T3ilwB2b
OT74oMapPUSyusEhZzNioCBmwbroFp+d4ZkXyazno8lk5CGrvERs4Y5J9p3G/6apuLvx2rz8KIMl
QTGlzwHCtPuqDAdsiVSies+9aDm1lcv/X08RMkRpcGGK56oHDdA23kPUgP+hO8e13iV4r+PUDz/t
hKl/W8AkJMDXSXFrLC7abmrs7TTJnk0ZDT+a2m6eGSIlL5WosIzy7u8MySePiammooST5FHX2fJC
mjd9rYXNq6mzZHize8N/RwV2v5VSQxtocScmDtUQruQIvzhjQHDBtaiFcumopOx2B213/gEuBdAD
uk0M2IagiwzBdlFl5TwbXpVeOLOpr/ppit5yyy4wPEmYmjokfYDMTGjHGFpqq/vkfUFk4QVoyu4t
rIfktHDW5lC9lP2h4ACIT7eSKbAy75HNq/4aa9Vgzu2Jn9ucgjae14sdxzyafArjGwwcwgfM4eFD
s8yT6BKYNEWRX+PjgDDGst/tnKatbhmXgeucBXqXl5UcSmq7ah+0nEArgM4gYKyJOMcuztAre5jK
C3fS4cWckEHJXEpDcg5pwCCtAYtWbkG+3lB0VD7SYmOa26GomisWDEIcuL/8W5v+rObANXkmcWN3
3KKbCpcn7Kmy4JztB/Z3K++nOwTr6ZY2h+7BG4Pmy+tUeVWbdXFaVOL/II0WXiVD214KN8DGaFuj
88NTQ/NFp8oEc5VE2VuN9eQ173tJ3MoJen8bkvXBFjy5LqHQ2vGPPKp0LjEgfZReR8Q5bDxKSlzw
1fdGP7jPIqiqz1r0z7AW6riWnEgoM8KPF5TCIiXgdcXtoib9XoFECAjwVrXiPEXsLUB6X46SWvST
R0SPKPo08yGrduSAYfjtYp5yCJsAygcLiGs/J9m1ngcPHzZTV9YIUYd7R6TDmU7FPtgW6BX7ael4
dKp6rMrYpqDkYEviZhtg3ObV2MGD3vBI2NemChDsgoGYLiFD8TMQX2xFL19dS0PAqgJSQmPVN/cp
X1S4B9DsPkkGhHpnVl1AdfFEXXxEOup7LuoJcaVsg/xIot/hIGVLrfc8zbmkTJ49k+yVnP04iGr/
m2oiQostR/6zSJzpyR/WnS3yp4NYDFR7o7YiIDj6g7QIIbmAD2XD1Zr3hDMSvwHDBMv246Zjy0XH
npnjBG+CyofPXkwJkiUxttTXWEUs69IDhDqyF7i9D/nbd9NtgIJtk83qGXg4/A+PFvZWXL3atepd
K5yKSYcVNMPOTTOkM2nl3xPsthfQyTxwVmLAewzhKwOakXTfex1gaJyx529GRjeaQh8DZv00+K8L
8boNQwwub1WfVGvLc+F85uVgnjUcAi64KzhRj4TpnGIEo5oPAD3AMDDMC+uLSSgGZQHDtFs/Qs5k
BqnYTeg1/77k8JFQJ43+JQ/SCuM+p4kmbX84oxWdPcONTjluq9tpceiP59eWJ93L/kpr+LXMarnj
a3pJfcy0kO+tA3ebBvCSI9sfXTjiuYwAad2moXcDsCE72KITjyl0siy2pQECv7Kg6jK3T/e1dN+9
xtT3hp+73401PWrVJhwDSETKc/LVeV+ax2VqIsRfsv/01GCuF411XbaNcQ9J4++MGKv94V8tL5Hp
4oJi47Zdz3VX+8QvZqi0MIO2TbtwvdMzPOXGfBvAhLqBX0I3DbNZ82a0jPyJ1Btb6V8bJtx/Z5fA
gsIU1CbBYYW/+XsW2/BDmsLCg/bFcBP5bX8ce8kUwWRs70yzGSfcyRiMm/n4OS1sKb1S1b4dC2uj
+GZpbPDiMKwQO1sy/GXNgInORAf7u0F1ONcTGmAmB1mmorYSAdVbjr3vNicojMvVIDM4xCOjCg9t
0MGpRY07yQ7WFU7A7PWlgbBd2IdqLlaHs0UOEXTMBtgbkMLJe4STwmRs0tZtl/nfc5qcYiMYoTMY
LPh5UwcNwGacfpD4nL/56Ow1j/Lb9xah2brOmp1hGPyb06TiUeLjczmt46Hk3mDeuu6ssffn+qK2
sCxNGm8G5WzsStiyz5lUeh9Bhmp5mDoMTJCLRRTEVTpSRKcqf0fOa7wwG5nGzWycZ2B4VCkUHICd
PD/WOYzUv/72VyPpn34Fj4GWG/J/8eeszrlfHr2MvaQdoz46mH2bc8WBFFvGIc3l58UY7q159Lcj
m3O8sgZOIHHVFxMvddGbq1sPwc2zaACx5QR2rca38df/uj/b9iLMmeTgSRZFOFN/+3wFGp5vUXJ0
KCyEKkaRIro0k7r/mx9j/d6S7WPZgxpmrq8AS7v1289pGRi7MmmjA+NPqgBGOzCO09SrLWFu/8Pm
As8aWVAMaJGPTtTo32ccQuctwnhxxrMT3ZQ6LLDN8LK0Xl3dDI4yNT1ci7FzM/OxHQr5/NcfjfX7
Z8N6bVoemH/WoBDt5zeb5oo+R5Dg2VvbEHOAQhC0A2pUNnlStBt0f/c5Km4aM2veygX1jPkPcLOx
TE8a2MUWM4P+9PJovvz57/pvRO9vInqs2xHLw/9s0r75zGT6/qs/+59/5J+06eAfbF6comE544X+
BQoRWv9w8SC5zHAJ4Zl4pf+/P9v+B7SZFSkdkL/hceDBlY0aUizPwT9Cy7Z8/oy1LlBe9J/4s4OV
W/2v6wRWXUyZUE1DbJ5McX5bJ4hVhG5DEq0tGwxOnG1Z1HraFa/SoE93fSCjvWqtZBdVuF9JSFXJ
peUDkaF/vjsXeW7tkhmj5nYEyNlumBWqjW1Te0FUfgr6A49vfzVbGYJ5BGp/J4YhtOKa8pUTDQ/d
65J5JdYt8D2ZU4JMKfL+qKpx2I1SIdl0or7J3MAduLoOY7TF7Qg4jGkN7qFGuzhfGAwBgLFBF5yz
OUuAorXcCxLlGFdT3hcd7Zi0wG+qaDa+EqnIuJDMiT6yqCcRY070B3l5dmpUtNYBFktzGXqO/yLN
EM4tjkli3kUL+Z0xRj9KppVKbKFV5M8YBt+mxcyuyFo8opJAHRXVeIG9tH/3/SU9u3aX3if94D/4
i1temVluH2Y8YDuW2JT2j5ozrTbA5o7mxUBlKCOPetlFfHQ7C6QRLQg9Gk+dTvc9hKC4iMKrELrT
GSBbFgtZfII78jbMbLJ76otyNiZYNV4w6m/IOv5lSgCHkb5poGhhiiBWn+PNPRVNlhNhNB32Wqla
kEwNXp2zMQiOAnxo67WWbDoFgjNjSsBcQfhkicW89bWc7yPwgRFAw8xGVqe74qagmA4CeWXL9yZI
p+5i4iJz9oWw0RmaKbmhLm1lgnGWGzl65shUU2uVFBjBOePaE7gKPakVEQ4fYTsxB3A33NcYWE9y
lnmctGVFOwXQjYwZepVle9+lfcWe1mthJO3rbDTyb8ao7H0ip/oAurFZf6URk4eIwqd2kN7OwwKC
ul6NNwO3Pb5KLjiQJ+cQ1Bgus/EBBT2lZzBz7BflTf5zQ2gfv/DUW3er3feGAC1ocq9PmqOi6fVY
RS5+j4nB6suAOP3ReRnR8ix1dpQqiI55idaUDPErjXsYuyQ/dbkWXPl+dp8GKjwOQWEefdpQ9kQv
uRxRU9gcuzZYVZJy4Mb8YPeZoiNq3AfUrGFfnuOm0OO1GviMGTblb8Tx1K3XoD14Lh6iEI7kAC0B
lra1xV2w3BUwq2gaY1zvG30T97SSXkUlQ5xD6XkDbzUBucPU49fhbmkgULUc0pjNRUAPkHxmCnkN
c/oK8uSNJpr+ksaj+mrqovlCtBNoknwJuqNiJH1J/WGzpshCjIq2ldzkUlLxzAmkPqsMaX9vT1bG
bdPMgjuuzfKZCQ7J/hkY4pWMrP51tl08KFbPfroJqHM5ey1clIsptKWiPZEh6c5kZqS/QazPnAcZ
EgWTXt18EsDEEkERsO+3lyHPPtNiiwYG68UQ6TxfpPlaN5OLMewovHCxLDh+kkQ/pyz51tP0TRBN
5hw2EWyvTpnBXx+b1qif0nDNdaqherHs2a1OaZN1cLaK9c4P3wMOoGKZhi7iMOIIPFW+wJ+bDiqi
QiVmsX9WHZEuyxnktTGZ9VPZe0wDgcTCxgvL2fwMgjw4SGiMV73dFDS/Gcl+HPJkDWkuzk1jzfqj
hmv+VvYzAbd+ADjDW8QK2wrqp4b2ccpsUPaluUCSjku3az7FODR3hPaTr9zAQFhQv/PZA3oDMWby
F8PnZPxTYiKeDwx3PPmYIaOFMf60UMQDNpj5XssObnNABhSzZMd/is0K2Xt1BU67jMmff0zsmXlD
RUIahQNapH1RKUcR17azCSdQIZZHenFtrrSpO8DO/nnVRWLi2msDtgA5IKPiavYag+1FOPuWK1yN
oEkAAcBmc9A00sRm1PBVluKmZGxx2Ye9iA13nueN4dJfxRSZ93WS7Un5+SJxl3Bl1/NcXYEqnp68
rBNUH653+8W122/q542/L3glNnKaW7jYqnPOApvTwgxllQmqn5JB8VM+wMuuv5tul2v6j3T0kXYG
vpg2z6Z6g/EUXJJm6Bsd6FBybCQIzbyRG7nLyRBS2T3Su7S5knMfPic+XPutr5SgWo8FPrsJGrOn
Ugi+wkW+UL07tbY7XWHSmo6O5/MWSKM6w1vnGJ6Q3acHira7HN8zt6J0uA9mhd+17M33bljuXaQw
B0Njoh7MuaB0RhgrBnzI+2CM0V2QMOD1+u+90Ga5LciFvvTKU1HMlC8XR4qeRtC1nc/UCc8+QphJ
FUxs6kl/CQgBT541TA8DqdeCmgQ9PPiOGZ073uHNbNjuvSU798WQUXVmwXZPch11eHkvttOkr5ao
xBihfAC6oVdQF7yc7IEX9ucA7rMqG2D9ymFWyz8RJxVtPpWkOIqvEhI7o2e9lz2q4cEtXecHwTat
9piGKn3nCDN98gggr3+7GZ4Lq/LFIUOWecrn1Z4UmP5AITMDj36HGD7cGIGiHY/wafTSllF1tKCl
NnTgmR0hYMMiTpyAV5q3fsp5DVgMPWRbWYBA2RDbyqsbieV22IWjLKkK5NLe5yDlEIIU/IyeKTBn
iGhutzSOqzeARNWNshcDVE6yOHT5evJBLq7xHobE5GJcBEG2UxhuOX5wmsfswrw4Bq1Y3fBbd6ck
ZbZ99FuTKuwiVfJLkrWncExMUF4YpLvBsdED98peoWjEISIKCAQzZcH2F8ugIG6opqtgNtslZnCJ
j1N4VvtJtQoRW3z+zQkwOhYHd+q+049SHltuHN8VUXFSzDNBUjKxhkeC2auWXdt0GHdBz4s3BPP+
0kMseOEGTreWqZFXR6t5CqcOU3hJI7G1Y+rknategnuqxlxt06r+NF07YStL+teFMTsQqRVKPipf
Xc8FWOxNCgOPomXa8iq8wXR+wS0mjFCo7hbs3cIrnwwGkEUHezSgqE69ZarADSe48Vl7ARDnVacV
vbtFYeUCOBF1l4Ybiic1++mXwq1b0RBKyHXXqGYBGrnUPHqzqDoccT12FmErCahR0h8UWA4Ka2Lj
0BqVSp4BvQIqcFKIlz4O4ZbseGxUetktOj1wID0WZoG0Bqqr3nP9IqxgYpwHPTlQHRFSlUoHoUvS
OEDty6pCvkxZxEhcDHPMvs96UvBUnkToJMdBlO1lQ2PAI3WUFD9Q37Z1LHd+izq/ZFbcm92H6KuQ
Uvc0db7P1WogGHdYE5Y38LZfI60CKLWmOMrEHq1NuPaAbFwdej9biilfBc3MRI2R1kHr1AbjxLDy
1XLZjV7WkgIGzbPj3ZK0Di+WTNKp6PQl9XNiaAmyTFQbE5xkHvHRCm8GlssCsZ1IO1SrFdqgtbiJ
2iPWdyce2AMuZjJ/902UTc/JMK9STmlPMFs5ZeJkOHMXTw1AU9QBHg1ZkWnv4XxXSPnR9EjhKlWp
Xuc3Bycoqo/A4pBgZ4XrbSsavL56UiScOm2fv3sO+ztWIHhYynQAPBQMFm/Ndopw5dFQsQX8F90W
VNo/mLirsen5uAA2EyOsbz6gCeaFLb7aLQc0/RaGc/udqg3ejmCA/3TmxeNgmDEhfY98JR89ZPtL
5Tr2bTVb8olUFI5Kp1WwdR3ha/ZZOpHjEXTzgYLb+cjTAw+hSk316Q46yo7NkkVn6Kwou2aDk3PD
6CCkdFE7lC/nsPbg2tvpsSR2IqjEDMQr4p4fax6VblOqki9waJwBB0ptWO9RKNXJ8idm87TtAM4K
1yPYONB9WFaLTdbDZDy34UxI2DXS8pLGPBzRHTMBYJg4qaNDWrvVF4tE/k4+IbgqQzN3tgT56x2f
GXXABFnmeBws4nlzVicJkO/mWTLKPvOyumTPJ4Oxk2OdLAf+bkgNIVQ1xfgKh+oWqrhtbbMgwj5n
+TlV9GLR4glcXvQpopZXu0/94mMmlHfZt0SVN0EWzuD1ZG99OIqKaAislHYbTG5bzb0RxHy7o4Hk
3OO0BSACHToCBHfj5Et92wQ+eY3RILIeyZKFpW3yiwmxOSa/0L1HpRlsmlB53xhNLR9z2VUlowgt
rqiyyD9au8FFN5fQ82jOfrVBETxkk+D+Bxehux7bNpkONh1KlGAGNlVIvFimvR9MD/t51vdnm9di
N1fTEBJeOE4hh4K6fgDDXxK04ve+A4wTUqDUOuOWgUcAVg56cqxmIjwyddLjjAU33fZ+uaxoVZl+
+mCEGfEkBEC8oCKK5iwCrmJN+IIOqFvfwnxV8gU80tddPrBedJfC4dfgZGTRy1PgIxwmNlzwY+Oj
PRknny804fr1FuSstvOKCuya5ekX+eP2D5n01xB28LuiEJH3JuMM1pKktb/KGr8qj6HDB+uQtYQk
aOV37QQY1U19a7vUVnDKlpJwdg2w8a9/6J+V9gBKJlxLGEOBbTmrovuL3GlnVrMkQYF7PBXlJaeM
4ZYCJKbgJrVOTEXVniuZfyGnqfv665+8aoj/qhVznOCobzqMiFEbf5PZW89DLq3kcujC1uGoEzCK
mhvfOPfaYWZURsnKdkJf+q8U93dSnO+sgdv/WYq7VZ/qe/rV9/pf5Lg//tg/5Tj7Hzaz1lV481j5
f8ElBB7gA6AIjCMIyf/xv/wTl2D5gF0JgES25UE0sGEi/D85zgSyEKKzMymwA8+JrP9EjvuTXs3K
HyIXsiWtzb/hb0+x10baVK3qOMN4bwnjeRlyRBCCXCN1QhwWOjXvGSxctrXz/ZdP6t+8tX96jH/7
0ass/esLxBy8KEzZ7TBLcLRKqfNNsdO3RfIxdSAh//qn/WnCEgCBt8gLOx70Ctf+GRb/5cflyZj7
g1vr/ZgX7kl0yRBHiENAiuxir2X7aoK3P/BNdztMk+EuCsYgLlrT246+el0dIBt3Wfszi1s9BFde
PhN5Kr3NYCYvXZeQ5eoGqJdNfrYcbF5//a8HzPvbSw+vN7LCEDwGzwoP1G9rnN1XMvCZ/+48IP/H
wHFyuaGHHIPN6K7nqsUDmK7D7YI+dhupPHtwE2Kg81rnarNHm6p7LRaUizw0sXsQUXXcAzLAhyAp
jns7w4uJIjNP/Ld2NeV03JFHwixGsQpORWhD3YXobPPRwMDRE44F/G6UWypF8cndaXrRcgjS1Izd
u5iVhJ4+qLUlu0TWTlXbORlhN2bFXZAW922pH9zukzEw9XTz5tuczcshIKWx5dwcXDV9xJHcaouL
KCScZKc+vFUJbtQL+WWA4z+7veUc7NIWj35h3lFYvHKx+MlON5aXtpj1e14NUAaiHNUhHdgoQXpT
olOzHfvY+7eupbIb3UPQwffSHaGDs8tRQbb1jAQ8sTEll2HIUupGubydgKodl0rS8EvM8Ztj2kEs
6qy5CUk+cDxd9Wd0tm9IFNHOm1L7o/WW8atVg3karfNkp9P1ZC5UyJqwQ/fAMZs9PL3lVJMp3Jj+
QstGbZFYCtrPLMs/M9EQG+QiTms7eHvgDXeGbOlv0nRfFOVbFqanzsU7N1JTF/DVeFL3R0vyBwj7
c4kHiLxlf+iuuIDtZtU8Ehyr/xjOfJ//t/hq/s3La68q/a+bEEcNZBSfqD9sETbAdRr4y+sUMcTu
WnyjO1WWJHoJ3TSYhbshLbB0kaTxWboes8yeL5dUGd9WlBgKb0g3cpJ1SN6B8zTbY0yrR32eFDVP
tFroB6cwy4P0CFL6EQ6T1GmKF9kprI9zYv74+U79d1P7200tMlld/mpTq/P3j3/d0H7+kT82tACK
I7sFzzmkH8v/2Vk6wQ36P/8rAB/OrCIKSSUHbCq/8H8c5kuWhV0lWKfD/vq4/HO8ZEfsghxm+IOc
4CCQ/Ef4H8ZYvz2Y7Kc+uylADJjo7Lvrue2XB1MIUfhZbWM0VqM89lah4KwTj11vvLdOacjz1EGb
KqkPOtcjTUMcb8VFP4f5OTJrK1aops8hTMTPqDfxXmKe2jPqdZkA5PPZKGrQqq7hb1BXE9qlGPSI
eXknCnBLcGHrwLslxVqdDYC5W97iYBM0iWIAkCGUczFA83i2G/eT6uHYIXl9wjneHeyqtNAYzWLe
dxjzY43rCO0zsJ5KLwPb0xVpeUIara/aQi83nGur76pg0QV/6X/ojAscP2+6YTvH5bcykDat74pn
G2tw3Bsj2otW2baPkuKbV6mSNDI/NaFVjUJxbs2fo4lbAEFXvLiVnC6MeuXF+sSvu7oiFlzQbqYx
s+WWJqAJD+5GGWF4aMBZO5j5kI5X3oW6TemkPhqFX58bMal7zJ4wyf3apohsyO0njahJ2R6lQLkj
rmXqMkxLxuZgVMEtgvz4NOD6/urKrH/N/Mm9qxiX4RYJI9qTOge4WtPusKJmD2Ne2ReRrZ/zYOxu
sVdaLB2dd0HfhjoPVZJdjmlYP08MCpHQTaqqpGCcI4q477r8faLW4jpNQ4TCLrMsgG9TMD6w2gPw
bNOvBGxnvMB4iKXyu1efWhakYN1+95fkh851uGyDaH5J7fZYpB5kQ7vYZa1l3Y1hYe6yMC9u8wDo
sOvP7SV+Mvfs0MQC1AGXFhMBzJ0FzJKNhAN1jckOQ/vSrls0fKnvrae6QxsKumRmblNFSgFtZbrJ
9VQSGmElr+LBCi1q+wz7qtPBV9KfLfsVWI+JyTqKHhBzm1PpSbld4Dd7Gxs80Y6EhhAxTTT1suFL
qG6F3xTXUbrIQ2Qsmkg+7EkIQz2A5aYjwrHAN9RRshUmaEI8ueNWIBXGTgBISll8Qdyu7eiqmlQP
SAHuNCbXxNmqeqRLx/B/qMkNrwcA6pAEumjvD4yTUq7RFwO7zLUfBU/CzTrgIXj2siwgwMx2/Bih
TTEWrijxSI1u48sM15Xnw0hOyI3t8h7hq4NsvV9qHI2zhn9paJpHfdWYO3chPyloMLyq/EYf7U4F
hzKHy1AtcM7n/lA5QDmCcGmvkjBxtx6AQm8gAabn9rCIEbMzoL8c8B76ajzZzYeXQi+nAfeM+kRe
V5nFHXo2YVRDYjdFwMNP5e6pUmLMkGT1ObRN8JAZQCqUwnq8s7JuugcG8waU8KNeBDhWeSnr4Hs+
1v7tkhThsTV6d8+gLGHxWf/Gqg+deLLwkrbL/STde4BZ6L5lP2w5ZOoHEQFHcKaiZhulWXLOqk/H
a677DGw6cmEdW8qHywci/CVtJuaYVrHQC+WbTAHQ2YnPW2fGqMMJK7i7g8UdfA1hkez9xneukHd5
mThG7xIUlAeHI/XOnWnJcnVEFHIcsbB6zbLnOa5J3GpuCgwU5hdRwYKGtY73vuCEw0Gc8Da10GsX
vDyMDR6movEw8Vmc4y6g8i4H0LnLbSgWb4/2JTeJA4lUJ3rGg8m3rQuPuNdC35hlpMOhiMjXGQn+
q1YrTq0KeuLG9enRzUHd8l83mqpcqsQqc5hPNNsmL4hVS0zNensJ53A8md1cn+pyCkFMRPXH5NUD
rU7YWEBZmve85BSoYBhINhwHYYLM9uQ8+VkT2PGgy3ZX1DNBrMRNw2v6csJwl2ahs89HhOoZVAlZ
surJmbpu1+rsYJSW3vBBHJmwBFs2DO91rI07JadrTflXkuSYZzIs+qMG37GEfv7aC4TvqgzzONfD
sG+aPNwmfRlp0qXUQjl9KoETKN7/AbFP0jV6GGqPQElQ7gqTQU1KvQH9f+Mm56qmck/F0MMFGC/3
nC/gbrCDPNTLOJ+9hr0b0Iw7POCIytaZ2meBhnacwJRsE/qXoQzf5Q7YkSKnvBn/aB9nENFJIhC2
dVTSHhyPFdyjNZNKDNCVquK0y8DmLh2Dp9xv4VGM/AU4rFv92uYsGxvCt7l3HMm0xswlAFoO9IuV
SX8YzBUCYCb6G5W73r3pl+OZvx02GDG+UbwN4B8IdTyiw1zbldg1hpwYnAnaBgbD3HhlYhDilell
b5gQDZrCvQhy6lTBRrgvXhU5b9LJp23WhcWKJzpiGW8fRAnfVXeKri1rHCecGtB6XmngFecOD+dN
UOn23BiUPzB1B4bkzes2SIS8LKp6L7mwY2CW0b2EfElCXe18U70qe7xO8uqspny5tirBNSa12WbL
mgrHGtBl1GUNHbk5i+psmXR4UpYwOfISO0MMo592A3zOG4KVYPm4h1p4aocuh1pkFBBNrWWA9wsu
cw7bS7h0AsdB/mVJcE3wKBgcMQ2x+wdHTN1lS2fq7Ew/skAndP7BPZwSzz57ZE1rglnZ4NMgNg3v
C9vQV07p6rYlI3pr0Z49brRPDRM24XF5rOpweCzMyIG3o4vKJpOadXd6NInytnhsDIx8W2+oeo+a
NG0+s/SsJNhkPsiuJjFj6+lg2ijdSwhMXk19HmvIaw9Gkc4XVaiX6uALSqC2TiofW7T5WXbhTWh4
qt1UofEM1WyBN80RRZjtV9nO82NbBWWMSO3vlVuyeztOFd3hJnqeg/G2wfVN+CC9Rhzd+4rWkcFR
r9bQE3GvQD7VhXOHrtKs1CmAEwRTr+qk4tbKpDJ4zT1JqyzHCuEV3/PUBScogF5l5wFaADkuxYiR
6r/t4pKY4M2iDFrQS1gyeGpyb2XHQdggr0Yh8X1hpt/Z0J5xenxKD/r+PHnXrRDdXlhuFPs5kW5P
Lxb7LqewJKWo3KeOxV/0VUuiMk7wOGwd7XbXiZfuS+Zg6XaaccNGqauuheniDG87WvIMphvbHGvf
I8tveKnJFYL2HQ0XkTqqL2h8uHbc9JqccHY2Zmlss3FyjvRsmXec4vRDk5fL3h0n79Yi9edV+acr
OMBWs6vOii867kp15eeyORkpXFdJbnzjSVtuzdaJTomdrcXq1nwEs2vGTW+850ykjsShy0vkaLZo
Knp2+B2QKST4lWZJvUsJ1uOW43d3wj5hH9tmoswryc+VMXdvQM+C5zFh/bNH3C2EKwx6tHFw3feo
nTdRYlkrruM9LGv+vVHfkjWDgTUH/gW+Ex3Lbnjt8EPRke1tM3twYWhDNRngnSSmZbx4WRW+1tUa
bOxS46l2+23lrzd4GHrYjvnovij/wVlAPcjdhKcGLmFtMs9iwnjyu6I8Dh0eFIybR3rafT7USlwm
ZPRvg3ANgTfl1iHD90L7SHcJGal/a7IGe4zXreNTvzNYeBhK4CYiVZx0Pc8OgF+Ab0lMm7Sxx6wR
xTBSvEM7quSp1ml3R9FvuIXak9w7fetc+5loLziDTfeNXdYvvejlTzjBxvA8fW8bhL9HTKWfTWVB
Psz8+kfEJOEwT61LHIgTNEkF95I6KZJL9BNV75mdpZfeuOTexsIAc8bRnj0I8CMZw70ue5b047LU
tnjRSOhdW6VpHkgKmNdWgOCkoFdt/FTKi4ReHbSUmki1u1jUgQb2djKm6tPtVHRthK33rKG2wHSm
xch3lHyjhVbcF8x7HyjTsE/EuSAJ5FY28tEzg2L2mf1f9s5kOXLkyqK/0j+AMocDcADbmAcySAbn
3MDIJBPz7Bi/vg9UGkoydZu06LZetFaSqVjJJAOO5/fde+6WJwZwXbu8XIvooU3sHRAIkt5Aw1+6
CGnGaMcBrA4rdTXUxcVudXuml8PdzkHwPRRYqrB7RWpXZBOj22gFO3Qw790cG/wYMNuvw6za7ajN
+hy2iWL+VGSftOP84MpaL5B0/7vSgdz4XACPEWmxOxXG8aU3o/jg2PRoIyvWpxKOJm8NG1pWUbM4
kvF9agwFe3cmc2zxJl4fk82N9JOLnJu7XERyqajF2O7q/OTN1HyvKukfNTLmjTM06S/+ovU28Cv3
nLoRolumy4D4//QLbMRPTegdbBsulWrwQqxMtALyp5DN6UPOz6wIzkEUXiDkMDma/q2s4BOC7iVH
mzrxa2zA7hvmDIhPP6/jMHFvF+Q6lnpQHxhM1mT0h/NyySdUVXzXQ7V3vNw/l0QzIQJFxPMgB75E
kSRW5Y4kMiKeOTou2UXT1EfHQteAKWEEW9cgEJ5DBnhahUT/EgpHrYxaPCZTGOzsYOcNAfTcOj0F
ef+QDGrjhgOHy8RILgStAOZ0mYK53lEYRqBoGu8Su/1c6DgL9yG5dLR4Yqxq2k2tKbUacDnvmxkR
Fmba0i9p8UHNgpwQTkJPYxZRuCMuIefnNhNSLLNBvMOISg1iZcgt97zg4CU53hU7bh76BXaEJ7M+
9NChtgY5rANviuRk9qxS6z737uAj2PsWaxotP+FtD+BpKVsS4MvGzhxWGeoZQeNEyo1ZBi05Sl++
SsnwtPig6oyuzKzMSIZWRIIZfA9ReZN63rDqwn64Qcvz2MgZY//YOknxnhO9U9iczOBnExSzsQoi
FwStiGoM4+DAH/LGNK5UH+Q6PzZ2T+G3jghkzvziL2WeFpdEJ+YP3oDNpTJo2Zyjhm88SWtvNcfm
iLPN8N86uOgvsC/sbd1zb1kR7eF+Sq6VMEKTmnuM9HpP8bfCKDpCZdKqg3xVOldrtO1918vmJ/g1
lvUq6uL3ElsM5gFAZ21F0n/uOTz50fjnoDbLI40BHkj6AYOGsom/lq1GsW7sN+7SwwskvPxR14N9
SV1JiyK9NfNKiebO4nf6IHPJN0Pm6SWUw3eVJXLLTSg+RYAO7yaT/9aNoFswNffoBs7ixWKJfcfb
1tySqiTHHkT5apqMGyMREKGoPd+5DBYr3wSCjyvVp0SXniLG9ITHVlS+++hmo4E1WRJnpOCWlL3Y
YmLE2Rs6nFh9GB/URKTNb6xmTVfV06jSj6YabucpNoBfxF9paidHt25u8x5YO0HZulpZ42vL5cfj
GXYtc7rt/OlHWRfGiZR69PA/onvuv8vLR/7d/mlL+LMkcxiTpft9afjX/9n+dYm4+dAff/c/tn8C
kj+Q7Z+u322X8aW/q8vLP/mv/p//8f2vYM15kdj/raJ5/Ug+Wh19FH8nav7+VX8WNb3fpKugIP/J
4G656JO/a5rK/82GySCVI+Ak/16x+OclnSV+g/zt/9M6G+s35HHs9I4FCN0UjvPvLOmIUP2DqGlK
02fp67HudS0XY//fi5qlqEYDxyykhFzl2d4Ixja4lZnDtAdwTR2R3ElUYhojbeUnC3ipZsNQbHIu
D5e28WES5dRLQdRISVPRT3Kjaj8FfjlVpKTcAcLGeuZWTDq1y2V34+fjrnMTq2er5Q56PzUWSlxP
2neLu8wAcBbbkGWboWkwGRXqSClO1WxJc+VI/7S3vM/xOMIctxZChsfE1iAQ5nSLiCIIb0avV58W
vqptSMARj7rv3c8kc25ryuO3dEan9NqmgImgc117WdU/e2gqFNqPWf5Ma4f6zMnnkpIJQyBHslts
4w6d3DsCuiFapkt/nJfrekUmm+1WBYwCYHCfj48tuaM9dTSNvBHYmd+niSbkap7Gd8uzx2E1FKK6
xAi1YpOD6ulpddG0h6dSRhQ4a8OaNwoXekbeMcYs3zcmkfuwAG/CwVtzoJidD6LDtMIPUXjsseJy
WoAI7FHxGBIcuCgWfO+eNpMCq0Rk4pfyec7b1iLE3ud9N28MCnats9dPLYsv/GtQY8yiWdvLXNl1
GtFBat3yF+C8ok5lbPJdTT7g09IdpsfEru7R5+yvyDTHZ79zBP4n3p8wrfHYnKp0pg3cqoZxG2RD
9cJei8zzjAUa+11HT2Ax1fh6xNw5LxFooZe6rlJakmc/xk862+XVVEA0tnwH40s/6Oy+gIr0kJq4
t3bBBAs1inW7t8QYviXUy2GGlg4CH1Xe3Uj7HgbhV2SnvjkpczCNNR4ew9xh0JrkwbD75MNpWRiS
3EhD62ziV8KVhQ7P78zsgZESZXpq6x6nWOCpCWYAnWY9l8QWDoWeXARMEMkMhgqnLNyyYXxn6+vd
JLHvg670oWhse2wrFR9YujAYhdSAyNTEhbUf8rLhNjZw597qOg/TjSgNWFeJ391wH5OLguM9p0nL
bSBl2OH8b/N8qcac74MEw/p1DOuShWBrHeJaWfcmHcrnsRdRs8/agt4gk4ac90J26dl1DSi2Ztmo
nzR7uxsqTQGDor+RFw8mwCVitIDOOQUlykWp3v0wYSNOZSAk6LIzwBhwPfAHwDaSjqRaNkfYdzrZ
ITp0O1GKTpOvNSymuEGHV6KFMGnrKPHfxBDXr0CXvE/Ve/bZHXpy7sLgX54M5NXs0nvtemrh16VF
RnzSpv3hOjHyIQDEUqFRDXRZ+WPW3dXFDLct7Tr71PQ2XKo5495G7rLq3pwyaj+jJOROmXFHyPYN
50Cyk+ncWQdgsJMDn1XwJweY7DuAlcy357oKB+COsUvEJsL20K9H5Vd0fjsdDUQgbVrK7WLepNNM
4ngjK9mwwvewJK0wLC1LbKEnoMjCTxtsk7P/UdpG/JHCkgAv60fZF5oP8DE/tG4KnnDu0KKNfjZK
lRfXrZz9KMQMYroDkCYDy/7Z0AJ/502uss/jrOLmEjJq/jDmwoJHBQzbFADlPQygz3yiQMfmPp/K
opnLHS+T6T3tpuwCTkUMa4yUtssSJ5R7/M0Fa2K3/5k0mOJpwKvBv0wIF9GIQ6pLzI7rizZ7dRNm
an7ksHHyJ6I4wYeXGN4FxHPBH8D8cKJDJ32LJ4v1kqep312JLDdeazF2F+jDAg0efX9Fyx/4D0Zj
8Ek83zdCyPILDoHP5bqOJWQEfBjeiz0aCXVfIoeIw+IMroxdNDxmAyR/OIEFvvPbxp30wQ1K58kL
zMzcmEOHVsAFZ2NTolRs26SMzpYT/wi1mUNYjLngyKr7gN1UPXZDbxPvxE5IybbxaHOc5bjramzj
hHTJKIR+JrfdNPcfWJshD8SjVdyzESDX02MnY+OhnaNLWPFNw0KstjCovK1ZWWUBAVjb8aOwc6Bz
AMLiF9SGeWGgeRmQF986pqOksza1Z+ZPOQjzCx3TvcPibv0wjD6/l7Bod1Y9di9ZOHrxfR6xROKb
Z6YDYTAUP5IsHw9EEUaLTHEVfylc5usobkpva8wkVNa0iA7uU0ii/NfoxpLsTp7XP5zGdiEttW0T
LYSPbo2NtNSwUAOHHQFQm23WY/BdOUBIatYDwX3X9FQ5gvgJ+42nXU4t2zBJhyll8+JOg4OYuRTJ
3Ic24QfDY0p/2RlGrTyEXR89lTnsyMr0eqB+noNfQHfvcDqGAPpbaYCkscHUrpbnEAxk5hbc+xvr
Dvr5FbzWuAEd+VoC4KJ3GLknSnAWlrETnGMLOiz6nP01Rgncmsj3aOas6rXuKxBUUwxXjetrULvf
zhh/6tCmSzYGEKqDkDh3h2SdAKYf7VedcuHalhUnMbbN1sdtUtqDdbRxylprJK+kOg52gLaHtZ8E
tmUoh+VTNkHOCHG7z7uRaMZI8ZX3VZY1HWzS1OZLBOFhXlVCx85hSDNvvOAsLr4CcnGYlntGHTvK
aFfmKlfe2DphheSL5JBSObeVfU0KPEJ6xhnpbVweiBYeQJwcS03jb5Qk7jV1KKNzwE1tgt4HAebF
8pe38FAyz2o34zy1n0ZtwTeblU3VpyA+sbKdQF1I35Ov8YfCZItAfHYlmiJVN1NSGsYzkIWsplS+
j8u1h/u82Mg67udLveTdtjkfmHCTVxiWF2qhZW77JhyPVWwAWjYX83xGjhmPudlZmHa5Yx792Wq/
KaxjkaSygc8OdJ1jnre+teZEoFwN0Ip3N880G65mGHa3w1wRhNYS66g2u+gzr1rr5DQNgNeABMJn
JbViUPHL6Qe+F51sJgI2Psx7DxZcR9zA3XOZyhEdRcccGmIl3ecTRYdcn3VyazaetGBnW64CVqlO
KSyINb5Xrrelku0LQxSpQFrF5M+2npq3rtTRKcsdL9oU0pPxipfSeAlxBPEmYR8PEgvUmQk8ykzu
OpdG+pWlHL2plBHNGzPVjbrhCpYfncb0CHtw2EGcbpa3Hxd00BQjKIIVkdL51sl4TNcjZoZN7mSI
fTTivFh41lzMu3F59AwXUXioO9LybJkAqVdhufGIGS6sQf6VN+yHpviuMYPwdkzahn0++JcP1gP1
g6xyBYu7ccmnSqXZgPQzUn7eST4nvYNTOAWVKXZ9m2wa9A/quCJScQaD6YMTOsMZgots10FkUlDH
Me68pANTMUdGNFVstIu03nqR7eWUpCflN+4wGV9T/N78I8MyHSVRNVds2XT2waAQXKd+JB/oVRUo
Z3CCEwAa02eNkuaxWxAuotVixQE9aTYUkX5JA9tk4cU7+q4rp+AMh7Df8gg033nnmNch7WGUm5Wf
PUTzaDzLmg4DSSvkXva+/w2kTzxPhjecPccx3icRGKxk6mR+GMqke+f8ZVyway3tde61kNWoO4fl
ngvvKIpwei3jiWBQxzvmFftJpUH02Rn40Uwk6Z5OM/Z0tm9RSx5aBAWYlAV7H8HeDQYvjvEGjjTR
OuX2WI6A/lvHuJUq29UC4QtJgrcbQLuonvYBS7L4NGuVnp3OxuHW2SaUkTjJQJ5SrO7/6tkp/Gwb
hEn8kF0hty13qRealaJoTc5obMy9IKhnrPn0RvaJRDHxSMtIqmTnzMMAoxXFwjc+yqZ1D1MiM6/c
+HNGeDYqkplMxtxz3dlgsim9N9YEpnd1SuaSvc8nrbKJdZiOSxC/+3AKuEdTSLXioAHu6TFzt6G0
S4O6X1sdLZ4nPpgzeaWbiDASSSXL7q0LSVcGVhjJeMQ950nwvplPaTAFD6nPTHCfdeZcgF2b/VDe
ZDa79n3EVj/b5l7YbcGTC2WtrbyHjbTKSFazBitoLqhvo7lkPKrKuMMaYwKpuujEKoKTY7Z9dOcN
bkeKNQ6C4ZC0rAnG3ikeCKHWBnFnZpKnCfVt3vv15Fi7dqQ9/chKMU7eULeb/EDylTV/lXpT+yOf
J/HhwzdVy/7XCX6kKiwCRMfQdBmS6JII+b0P5Fex8beMmc1Yx2tTwquKNuEkxQ9L9ZjoG90M3Zra
5QWW4Uz+Da/vejikntmdbNpOm610WvNQCpnuNXkZvBOBGh+jQuf5cYpVInYRAjzgbLsLk9vSdgd3
jeYNLUentDDWRtQbGx0Oaj8R8AtOVoMnhgYej3cX7QBucCrgxtTwd7QE6sCbIU+3hqGy9n1ckExV
PU75bbb4fsliE6cm54K5vzpBdZr8Q+D5i7/eyd3ohZeUao/2qAvGHDEMN+x1SPyDNWn7/BkAkJ18
wivry4ew09OmUBUJcFYI5OhEq/r7pPZhbTHc2atmwgWwafnr2JsSlsN8MEM2M+fIYEOw9QLHtdkT
uHrnyqYG8eU1xplg0bufsChZ1eCL7yN6DH7mdlD9MKwRwZiE6H3Shtekr0W3aWKq0Ti+ieOsZqtP
9umoKsJJQVefJcmxlE+UEfzCcGPIIyBjbkZIDMTtdRZNP6ewsSxs9JRLMtv37amu++6xI4C77hS8
UK6XeJJ6qzbs1WBn1y6k5WZT+G16DkeeWKYWHIebwJvQ5+gl7D9b16PAEUcapeKlaigRmbgK00PT
NgQ5WtjVL21IAy52xWUnkpEyu5tAGctbDGLQJflq8NLYlQRcZOoiC9aG0WiuEX2XlGvhftUc/RRZ
1LJ9bjGQ8HglVfORG6o4Gi0Ymky5wY1bZW231vlsqlUWOk22mXPHuoNZb13ZFdv7uKKZJ2GzOn9a
Jj8ONaillWTUT/zk/YPth4KvL2mIpyO2PVaiGD/CVoQv4M716wS+INmb8NROvWW6R6pDJtxtHlmM
MO3hZacku+iJKim9gqHkVAIEemJkF7/rMOvMFmr/zuAv9lKHqX/2WE7mqzFlc4w1OKCmoOKyv2mb
QNUb7cQE5eY4Ef1m6LyAE7v21e8e6P81v+byB/0fEy4BbQiM3eRZ/ms35lMTV13zd7iPv33Z7+Kl
L/9UuY0lwFt4H39QL33zN9OBRQP5RlLyhoH8b8QP+zfHUQqYAF/iKWsxxP/Fkinp6YYjxX5rsSwJ
4f076qWt/oH4wXOEX4T1F35hyfgjlv//D5bMqkgNA8BYd7ADm6KFlFijgRUn74lDmf745ik/XPWE
87Eyw/OdS/09SvmaeN4b+35xDerlclQPXxpLwCoFAbjVo+o2hsE2cdR18YhPvz27fZisSg9a9tzD
rqTq40GxVNkMoDsORYuNEv7jxa1SyetiirYsLN4IENZ4BaZraYvvHBSlOcFA5nFs14VPwc2cGqzE
rQvvdblySqP+AY05XDmqHw+afA9BY6qMVtyZfsRtdjCgeTRZspxdA+cKKeH7kGeVTTS4eFFPWKDo
V8Gh4VpnndjAHY0KcAbvhpGct43BQ2TTS+CHTyJOP4aoeUsF4KpVz8R2C7rC2ZLNDja6ROiKuqnD
H2R3V/qEiT6l9k2lzPEoU6ejtWIqsez5zPG1GWPJcYEvDKvEMbtfSJSXZZLYmo3lPiB6C2CS0Taq
23Q/tU6+Loy6uHU52dZ4BijCrUPjoOzGPVG3UBEXq6FyDj4NYaifJ5GF6lOr6UfDyc+kMNcsJBF6
pZ/x31BGPzvlG7eBAjriD9RHxHpINoxA9i29HR3psvI7IfS9N/zavWso7NwNocXszsm1QmLx1qnr
2ts0KjoSocgeNW6Zq9fOX2y1qapIx/puyLr0zSqnN+47S4k3Q0rrw6DKW3Fj12lHqJg07IwSC4A6
+xUXXnpwS/+HrzN2oiCpgT5nAN0GE8Nin4sTwT4+AIRCD6JqonPsZk+xUk8uKNiTJzTclnCMn1qa
UTbspdJti7YD+SLMroOOvLVJZnQ9pz6Q9DhCPansZxey/9alk+AWytgrn1f/exSF3kJLyaHWl/gQ
NLSbvmqfSIY/RRN+PvqkEGLblwRk1aYXsHzbgs6m0bDfM0DXh0S3V9Opxm2quWioxGp3VILrF7Hc
4B3lXaFTPM1jco/HlM8sz/u6j2yC9z3jCXVdhDHHsQ2D28SSNf7IWcMvDuLFRjk11f1iX92ajmFs
qBDI7mCfZNvSDodjHlOqoPgM3oW6hVWMlfMQLtm/LIo4zvx2P+vqthNJQFg8Y80OOCO5srr39rLC
XkLW+8UM2/Ex9/PwNChPHEwdEmq01bMpEgnKk6aCLOHWzq+q3w7OhK00Tegc8jsjeMcGvKSQZX2D
1Bye5mlQ3KJ712baRtnfdEHzjcJQbMAf8NocZ/+icnt8QI5mbT3a6XYcOjLDreKS4Fl3ogloXAoc
Nov+ED8MJhvAqfK6O5HMORkVxbad+SvWM57UwS1h8SZwQ6rZfEBgQbQz2BACXy/JZvrVWrSBu+4V
np1UU+yxpsEqpkTAKRiqs5zbliEUZgKje51aXz13hK0ONNfAnxcuRmO2FygNItnHthsdE7eezjUa
7LMfV6QtS5RlhJNZXjOi9xd8KVy4IRa+4rJ+RWrGPagmKtLD4lC1432lwTj3ldlf4wFcshG3WMXI
W8PPHsv5RIp6RTt39RmToP3ukVjvXDKFJ39SwwHXDSJTUDlg8LJ0Z84h1apZdTEa70wHh8QgvtKh
8Jltc6i5E/IHqVcU70Dy5MKZ20DaY7vSR+6Z+1sCkTGobgJTJ3cRQfo1MvUNYmu/z21dvxaig+NU
5s1F11OHJYYVDFgVZBDEyDWl28lz7/NtLCS8axDNDyN4tI308JeV0xAfq6R74D1kLB7weucIJ/zE
ZM0wmxlP4VgLyim4QZWy0Hdl6jkbz5ux6xfUfhQyZiNFMKnG/PzgJGIB85BNakzXWDuuK1nPekst
jUn5vEH38dFwjG6jjdrhIuHle9Gkzc1o6HJl5JDJA1oXNvgAOIVj59s0MUP4KjPR63zW8+pnLD0a
7pIBUIlPgmjES0W3ZIKa37UzcSkE7TyAOl8WwYuwS96Ky/fAts/ahjHsfywY8tXreZozR9LnGMz+
bZpGMPVZdtkt0kI4fBqwiyDmYH95kpX3C8vCYtbm9DUPHmunLRnDOwA3/mpkJWhsErzwVzmwPcDD
bqC9JVdMHdWtK1TyUhGBxcftsIyYoxfWfXvmcxoyeCcUa2X47/MMhJqKia9y5AOlWrp1agCDyTgN
myITl7mfb3OuekB+VPLc6kYeO8OgxWD5TYNeCHYWLCagThw92i++Cjl/dm75o3dlwA91tnAWI3AB
iWGj5qRFfBqD8D6OWKJ7IgQ3YckHDFvoh0FP4LnoJUN6y9VmLgosla51aPu0eWKo15u5DWsMYRqB
eiw/hMEpxDUMAEOAgdr5nAooyrbzlXdQ8AK9FFdZzv/Haf+lPb3FLMGU+V/Pus9afzT/cd98fH23
0R939X/+yt/HXc/+DRQSjEWyLWqJyJKF/HMAyf0NOyqZWRCMjK5g6/467rKsZ7GqwFL+JTf7t3GX
2JJtC76SMLWJ1PJvJZD+MYxuUm9g2jwXCkGUXPiyyv/DsKsLYL5N5/T7KtH+I/mI6Y63H5wOy4+b
T8Of4TwKnyLhP/yg/kkgj+DVErn7YyQPOh+zt0kgj784Tq5/+JO7Fuba6PT9XtkUNcSN5VQf+FTY
uMS9aVPpU2HxXceIIG9ZlbDKH0FTp2vPzawOx/Qg1F5klSnXbWNl7wFiASB3kvPEHKZQr70GGUO0
lAWt0xyu3WGATdDAcjcNuLeDZmFZMX1/YoRfWXpqir3Etv2es5X5mErpv+QiyaMtG/n+YeJMr3g9
qvgcRxkNPpSa0hjQm7J7K2w33hEiY/+R52ebPrL9EO4mXHqYx4tP+GLrSEM0mEuz3LT0rPUZTjPI
PckDpgH31Z9VvbcCA8BDXvH8RnBByYmEKng2+iymWyQ0yuMEbW9Ne9q3W4LoYO21IyAsj5pKJYy+
0b0Xde6uHzEtwX2lZccsXuKYEoqhojrDHORjj0DMRlkScqqLtZNg9M7yEjg55dd3FABj5mF9IS1B
FdvQ8YVN7eyKig4OQ9PfAxw3WTej/MCFReDat8/CaTdtxLAfWs2+CLIdrgzaXxZELe1Qe6XwebbO
nPEP0b4igc/dDU1X35Df1sc5aJZQbtvh0ydvW5KthVFGfg05BGViiN0tNn+LiqtA77UTkqulyWdn
c7gdbcGL3IA0zoWg6/DJtgutN5LrORlZojuciGmQdPQwhVDJ8hSLCcb7TYOjaT8PDcY5ZEgkOOjp
NHwZ9hfjRnjobOQR11DGZSbucjQhVl+nOWvTTQFfaRPiVIYmviDSF9iPlaC6R3m4scEZ+JvUQ6bd
DpbdfrB/TUvSMAg8SzeC+x52tneL8m5+cs7nX9qlfIGXSOXQhxUROqNT4obyDJy4A/y3SyL9+qgn
zJ3CNk5wIqpTNOfla04Qgp910gAmEbOm3rJx6D5fgykn3UdplVLYIlV5n4P2W4CAzuLVoPtpg+vM
wWaazpD4TQv2A53He16WWb5Pjch7zB2joS6AGoFNrYpZbgE+aeqDXeXdisZitcWuo3+QEJ12dhhN
4Yl7KVu5WtTue6s9OCMBq/JL7VplRPOkgXw/eOLIcmvkfVuH+c3MA3UE7hxUbL29EC0os5/KpsEF
4cFghmruLaYYLORMGaaq4JXkZf/is0ymiIJCwMdUjXLhkdnNsPUcCjtO06DN77ImF6is3HxJKQbu
9jo37V80cwb+DgbN1KystiYZuponx7h6Sg871h3zOW0JvaHESRxtFCGkcLdpd3vqKMikLLkGTVEJ
c1fxHwtoZexeuxlvA99f3u6y2bhDF/hSYfrZ5tGNiUJYCcPeUVxirfJeZoc+8q07ZZOvrG32LprK
Q1hD6Y2v43TFGMxKR2BPzgENH5KqvhRqbu9pYviKUsS1pmzAMeksPAgC/7eF66Y7Kjf9nTvl1S7M
XWjfgaH3o9F6524e5VYPY/k5q6bfTYh2FzElpAfzKRhugjYdf+U5V54VinN89iOPcGOSeJhJ5mKi
D66ZHPPTxeh3ymSXnWkbuhtdegzxzYP/35jwXNR3XU6LvZr+HjzZBTWE7Wi8aQIuBbtiqI2m88x9
Cv560XcPvkW2YBXFgbcIbf1p7ubvyqo5PxBt7UWTDjZkId3b3rLXjp3OFg4NI9wOeRizwozye4P6
FXLiFpceASLzSowwtZ56SpI1UK1UH9Ow7n9qI+8u7dC16RaRo1yNsZ7uPIq315MuJVBDa3T5ZAUN
4PQ+/PT6hG6dwvEOloezhz2FoNJm4KeBeEONNV4AREU8O+PAv2HkAxwO6YUwfYvVPTh0GZ2FwF9P
qLx4j6WKIOs5v3g7UR6PLLPPmho9R/FJaY+E5sd1FXDL3sI9RTuP29AsNsZUN18x5aP03aSNuHEV
/EJUey7G26iBY4c807Odi7j+TGH6SjAk3Wa0RX2LyOz2U2xBlfJ5YPZO3RM5qhhP7W3f9x5M7TR/
oSJ2Wvej2RymDKgKrn/7vh3r4HPCG2o/tnXOMavnItKbUltipI4F3+sGeituPMMMm21aNfQEx1DZ
kk58VhFBEWdBt1BN0p/d2N+MTfFm4I/IlxyTZG3asixFj1WWuY/zroU6UXkeroU61k9DKqk3DMzE
vriti4VrUshSWT/U95NXPAQWLi8ct82mrXLjPtPERkdjaZSlbjb2bMrbmhiv0eKeqUOWyuGRjECy
HSAlnhPWo4bT9JAOY/D6bnSLQPBVu+PPifP9OLQuo4KQ0zGe0XnIauDXMkA8xiF6vZQZolY2bueu
cfZez2U+CGWwmSOyMmU0EkNzwpfQoliz1gMfgID7AzKPXg3abgEHGnN0zcdqWvIQO/gL2zhXJm0x
nbyJoEAR1yYcJQw3/hpD0LSQs/Vt1nrg8gxkonIc8U63bFZCNJl9RSvBht/QsGUWtNatWXAfG+fn
IANSBrZqCRHzg81oTL3F/g6nrK2eBycCa1SCBNc++TlGDfZuqtH7khT8nhPIIwZKzaqXNmoriPxu
SNGpA6oL/KkEmqwx8fjm0r4b+b2LIWPjJJt+pDSSQPo2Hd1w33DXIbPUWDzwse2cGRdaeA7LL5XK
cWeHT6K9V3FFUZipW2wSRTC8YwzNri61vWeqJNJf7egotgg5EeDeH14T4grQjMey3w2OoPPRZulB
U6MIfolopszPmahx1xnCHa/ZYG9wb6RpKDYjlEkAKOs07MVJhQugUybWB3DU+qYXcrzD452ykq4K
P+bnLdUp9HModj3Z61MoOyIivumchdebT+yPg++sDaiYrwouxLAz45SDyQyOiRbOKeRHLdYoUf42
tIz4xKPSxitBQ3i4J96d7nMhzRdYEz6mCRutJ59G2jllFn5RKCXoiyUxXPJLKPJ7vPHGE17e5IC0
RsX0mMz7Qkz9m00U7dzVJD/ZUamIZHVBFrWFH3fS9HFjuoqs+SlNpumbTpmcx9RL02uD2fLqk2Cu
qXlXSDZ50K0HRvsd9PP2xYNscgmiojhFVHnsJ7wipGYml9Qgn4PwLbZre5PnIiO2aIxP/ZDbh74g
wGL4lmaaVDAHoIbcsps2zyAU3TcDXwaNTnX5ZtnBkei8s1I6vDReom6kFxrztjacXvE5s0nyxBHu
K048c4WfNwYwZ9Gj7TbNvjQkA88QwEpza24Wq64lxLfKuDdQlOQE+SXw3WhPYUC9kn3BwJhP+qq0
MR/diu+gQDh5Zi+KCb5stPXEolaF25kOdPOeVwTvN6h0/cQBZqpN3sIAzDIy5T6h3J2yCloVKLS4
dHjZ127mfyTk37eg1zDww07YS2A7O5yj0RdDC9ldUqEQpOGSUS8yTgUVYENzrOq+feehna8G2iKp
p7FAxuYP8Qwhl6q8dIs4HGKss8J7ivzkZWhFP36UlhzJIY5xnT0aagjdjaZwhg7VjgveOgBlPSyd
8mNAH0/Pps7tNNq/8npj7wBou+b2ED6NlRn/msG87dG6MNHMgx3uu0a0D9UkzXdqWuynbhxgPE6N
JBExh8Q/kjguHsPciL7GQSUng63HR21LDQOH9l5+HZUar4IB9buxUNfCoWRbnMdjfZ0ak7NiriUH
NIM3p5qj65BgYMqR3bRWh9MhFx9p4NrPjhKqefJyW+lLUNa2Rc3wf1J3JstxI2m2fpWyu0ca4ADc
gc1dRARiJhkcRFHcwEhRwjzPePr7gcqslJRDVy1udbcWba1ScgoG3P/hnO8MIvcWxIsXZKg7enKw
4PDbwdRtGKEiMYs6Y2IGZvAm3HSsHGLq9qb22myScCwTnl5rIrJwU3AfngojdiVjoqpEWkOyKC4t
1H2VViochaViQlv0ZXCois6E+D+EOzJpSqZAonsRtEQwMcrqrrat20hDmjWmzaZsHOfUToEJMrsh
B9KV+ksMnfs5YItykFgoGGL32pNBaJXjSXeyPkFVGI99OwBkcrFUidmUt4Hl4Gw1gtHfW3HqVRMQ
ICrq8DwKa9hXTTfvO17Cl14FPbRdTV7IrK63mQbhjUXoTUS8zbGVEAC7vovvckuzrlxMoAlWwRZ/
ONiHaTU6FZJolSJrKeq55sRR/lUQOs9dEL4hBhxvu5JoiNVY1RmntcCVz8bc/YqhlJxgiOBbS0iQ
7IB9HmvH7T4OMU8OidPtxzgNgo0/SvMKtk9xjKA13CaF9TWwQiKHcUbfVZSzlzTrK6qrqPximVg5
o2AQ7KcS+TATjn2cA1338PsOjwnLolWDXfa68e34Usy16U111eReZpTtefStJbcMN6AMsvC2ZwCw
McuoIIUsHsoLiMP0tZqEdQsStd1OMyqoxinqm94ekkOhqo+dPkbFAsCCbxHBlvXGAl1fjfdum3Tt
/BLKlAz6sdPXSWpSA4HweCJsR1z1PVOMlKTHp0hV/vP7EBTZUnPgWu3vpgC1WEQtdp23AdzSxm+v
Olhf9y1VXoKBDTf5jCr3aFoWLAZIpR/6hvNelUX3HEV17vlzG71M7DTJXnNpqY28V1eOollb9RNP
V8StssFEj2fJ5U5xBlxtOOf1leknW8x+8VWOH/AxdezmCNg7ftQK3ldNKDM6QSiRzuKFy0LTuChX
F0d/oVpAdE8fxqkUVyFRcF+tYQQtEOm5QOwat9d6xp0Httw335wgocOC61+f9IA902pG2rnXeKMZ
npn2gGPbNkGqXyVtsMERWH5sx7Jy6btG4z6xp/JB1dDrY6Ck40q9y/5Gt8qfGizxL0OrIwl0EZHE
pwZ9+GXm9Huc30WDsLAREDKutOptnKAIDtqB/goXiPnayxyKvMjmZV1WvKAkKjfgNtXHgvizNXaw
4hxQqaGo4+zgG4qzTZIjj41Ym9y5Gqe3IWu0k3bfIGlrepZzffvSZV1/MhZ9ZCMc32uKKN1PnYl6
ctFRNg4HRhFE5VOt9GgbJJl2Z6eJvY5JU1sZisUXnsA1Fob8DX6aHK8RT4X2noUK8k70CNOqGwLj
kQRadJxlMkZfex0YP0K/yYOzMsqVPw+As4p8mj4m9JCbAOXOHpwxUlZ++ICa4F0rKsLGyrZUAfV5
0vvwk3Aj40HFOW+gyJj5HrSmuJsKpxkZBAX5o5VVX5t3JWqlpvxlRm30taAGBRKgcQz52gxHuCJp
rNe0nUTRmgQMtoyCeDI1oWe2YZVxNa+HlgjDYZHEUow9csgUS9bUve4PYhdAoj8FMRJaYFm4XiHh
bzSJua8jEjbsnLs2aqwb3/Szsx5YQluZ79rc0U8OdpvnJ9zm8gBMhLcD+nz7OGd1h8EyNJdrKtuS
Dww/RRHpXpAUnXOxn8Zucq6iYAo3DD3qneH6+iu53MFraSyk7QS/Gh+fVicZ6vZVTwdF4pbZ3sWT
ukxzaOy4m4c78tWZmrcG/rVOs4ddqrno0BhK3dhCv1lmQp90SA6oGcvBMDeJlsc3VHYLX5bzihAP
B0b10NghRoHQCogwovFErTVbzN/mdmOy6H/EcZ/KlTvU8pbSILXgTif+jYgjqAeDavYtAM91jAh3
Y2LZIdlj4rlMydpoU2Ap23ZuQaBEXVGfrHrZD1mdAMMX9AKEd9l8iidTv0KDmzQrSDIc4FZv35pR
V10B6cPcAEvlEgLYvNJLDYeJ7xbq1OG92gMci48CA9AJX0Z5iqzIuZNGWm7zAc7xRuQ8p1PTtzcM
15rWs82GksZR6Liqnvhg4O9l7AXW9NmdwSggIDfXcyD0N20OkkPvz/695GRaSdUhfqzKWZDX7CTb
IO6CbW3rM1tWpm+hUEW1MuLMuRqTtrydNWKNV92S1R1qZr6XsDhexj5Vx5IEyQ84GzkFxwIrgTAl
5geGVwQFaGVzQ08gHmU4WQS66j01F5GzZsNl1hYI0EHf0O4hm6yF9sFp+2YVTxCkgTwF/DaJ6kBu
kI63yhfpupoc7dCmsjxqBVDXSQNnrEcUIOSZRZsmi1miu82edp2Mpay66fWi3dYJyg1jHrlI+auN
2RN5YjqqYWumXKebPIzLCa4tkbuWGfKMk32LsJJl6K5Lqtrg4oGrYZCF/oiS23gEThls0m6KQ6j8
9RywZo0jT6XoYVfWEJUPZG5k+jaym3HazIrYlK2GXb049RiVGcmWBUlgGcMPxOdJoH2Eyt6w0Efi
jT6a4cA6JEvwbp7COjqhAYjuQzVjfEtdjWHvDHhs2MRV1H2NVTbviDWUz4mY5Z0zuoWxVXmqkcQR
S7SmNvQIJiFV6GLbTqVAA+865h2ZBJTIgxvB+0gct/zYWWb82msEj2JlGXTrMC6KquPMqP8hsub8
qTKBAGtxXt2MncmaObCr5haJGmJgASXsUg4M4sx+Qbkn7SfbgGDsO6A0oVq5z1phhmCMR+A2pjKP
jSOyx7ghyQEJ11htOxkKDyJQyiClPfAqzF6D0xDCABI51C5ucd+2/biBzzI/ML60j04l1MWcMMNs
4gESSYDglBjVynTemBpIGzCiQIOs16wOtBGhAma2gXgdnIXzug6K8SlyJBcEI9Tpqs0s5XXhbVSq
rtsEuXQfktbPzwHGOiuRdbIReBKuQKNP4x5+V5mtohlNuhMCpGBBPHYN3FukqSumzvYtMFwTFc0w
peht1ITkGJykAN9ZOEh6TLPA2D5N4pJabntrTmL+yOB8uNVkl08YftNdhKln1zal+cFMkvEGorDl
RQ5ZGtsCvgnAGju+weg60ZcPjnxuyyT8FI0yPcGK7y+1JpKKEaQRWqfKGdm6GMYCzw5huQL+ocpa
t0rrn4iYRVEvKa63oT3GyIej8WZ0a/z9ykqI7k14IW4LIlG0dVCK4M03CHBZR5Zh3Ac+g15y7/Ts
Po4UcEfNp4F25WxznZKdJ92QRmrMTPu6LoyGhXahs9U185tJs/MYnWNUfZoxuFzLOa7o5StHXunk
NzDGyZs4R+JQGR9k6IpThIAPYhgxk+Gq6Zh/YiTK1DGeNP9zlGTzSwnC2vKIJaf37PVq0bDPbLrl
ZNLGzXWffuTd1vfrnExmavq8GW8a2OCfB61dDjgeItvgP1LKFAfTaOcrUDEojEIfuESVNSfOdi6g
xtXfGqurw41bcPMNJa4JqUXl7SjRI404Ec/W0PYHVsTd16azop3kbVutQJyzia/acfwiY7D2ddpt
6CHSeN3KNt8DqFBHm3ObPX2R3luok4+awNhFnnz3lsdLWsGMiHZXpnq+jy015psRfP+LgdAs9FBs
FHe0SEy/y7z5QC6xc+tQnX2eS6XuwaDzf2rOoSboqyfMUBMtnk+0mhOpRju2GNu9jtfwPh+a9jM3
UIb9Tg3ugzYbJqE9WS0ij+S+S5ep5q4oEpvtAWcLu+zOsiCFte0lM1V6Kg0+CDx6tAqIhb3IMWea
oE9Z94yUB82tbvTiik14s0Vghm6ErJH0Du8ikTKhG4vy3vcLhBQkNO1Cihu8YZG8ZbmVH1LdCO8a
LD5rkYzIhnryb2qrIN2iNog4CclZyvpJHvmwAD99pb2OuAPW/PUp9PvEI1MTMao7O9edmufLNGZv
FTnuWdIF64rYl7WI3elKEgcN8twkJL1QBQRZ936KSDJJCALlZmR0eWgb3Y5X5jBGXix0+WAO/Fyu
VDw80+IMSHmuVzVYqG1P+8qGpmPCoUWZf2gp259VWEjipXXAg5Y51ncWBT2dQGpr/crBPrzqx7E8
Rj0hRavJDRq0sWN9Zrv6uajJyV2VbWPfhIFQV4MsrNuRccZzDlEZtC2+j5Z2l/UN+drqOBCDwKnq
Xwo0S+uARGsPeZv4WoLlgpyjL7m6RtFARWPsXi9ImGHKANCJ4NRpKv9owq2l6HQpWcIlfMsQAyJj
ti1YSo3ykX1qe8h4fdHpAQAew9rZ6BDKPWfSnWKnm7bFbRoQMxu1bfYsTb+5YnfYeamcnK99k8O9
1JKUWbDhfNJVqNerqUuJ3kBT7R5hYVHIqpi9lTl3dDDCCIdTg10PNGWFbZdtDuPe0n4pbXJXSBBp
tYOvoV6xmJFEWPoSAjhHm0POVVU5YnkL7+2cnQ9GzuEhUqP1VgzT+ApJsn3AZ9fVK5mMy/nv591Z
urFToA0fx+cqWeIdOBUQYXPm0eFl9HirPuYw7jtHsYdJWpOLJmnDq0HT9dfUBEziDaWPn7SeuLim
3JUHHxcFyCsTDBx3MPDBEsDlZLcBN1cekAnS2KW1ITMbJmDsp9NHEGGCvU3oboUoufMJHG89HDCF
vy58oSG6VNF81UX+4ocaRHJUrmyOwdhkxEonk/qMnyxilqez8cO2UXBbiaj0tZXhTsCfskUhzaAt
aXmbc4utkNEs9nLZmdXZHUe+DGCIYO834DLWGS7xD2lfs0cReYKkSo3FqvU17cCQPVMEgzXL/zDw
0K38LhIf2NmaKQ4ekZEBmtv2WwVi7rpkg3rL5UXtknJdrnybq/3Q6sQNbJSYxyfmzSAzIL09BEt3
lTnE8hEcNLZrxH8C9aK+hDCk+pXj9uItsYrlEkvRhfvkaa2R9Pb+1kZFsHYZDp/mTDeO0G/Ga6Di
2GCI8t6Q7l3gL6qFBzXW4MnqYazEw62lMRkNm4HuuiHyPK+Pk5+nuK5yDTeF0WyGqeq/GKUdIySs
o2sYMpxfM8AhpXRCdPtSELHC/4dEHz0mrln9SSeYBkBfmFwl9SC8otXRYlZAEaK1abdPYVfOt3Xf
5+cC3AlrdINMTVIXDqmh9M9pSXR5UDr1GQ1leANwJq7XZTREG2zk82ccAeGehCJ1wOCLpwXV3noo
usDevus4/mMq9+9F7v/3fxHDw5CGxaIDqfl/pQ96SQB5oLj6Jjk6vJFQ+fvH/qoQMsBvCAddu0Ai
pKP7+U4hZENQETowYsNRSGh+g3mQjSmVEIt+3nhPQv1dH+T8wj8gQkeVraOk56N+Y5n8KswBg/KN
bfLr378Pq5DqJzm8RVYEX551qFRsNCx90fF8pxAKfaAbtimZEMQ2MA8a4YH0McTlO9dX9ksz+eLW
mAiAhLygc9DN+bjWk0mKLXoIIs5tNZyBDERomTmnUGZUnG4fOnAfOYO5NettexPKitDutuxfw6ij
to8jU67iNuD6YYTPWJE1EPfklDmLAChCY58a5jZvq/lGmCAt0spilZ53fBeQ9OhkZDd6ejLstbys
vwR1j1+U0ZUPGI0lZuoazrXedtE5II7Pm+jjKfy7apsJpHtWm0Ve08bOiVw31KLhjGrIiLVdGJvu
W8yiD5RbNelbo/GtXTF1+r2ao+gmKRHy8JtRm8wcE7Wy2mE+akYkNjpd8lbMKhdrM6X95MasX1JS
RzFLBtATM6dC7xT0UzKsQ6tHjWp3zi3VX7AB9VlcQB+Ur3qWVtfgeM/WTDHv6lczQZUrnIb7eUrP
fa9OxNzdhlqHNMXqLipPIB6W9YZbqwVzgPZFBvVhcOIRzS0mrhR3UVZelc44tACffPnQ2koiOYWL
oG8MK7oVhAPUyYKSZbi/8XNWAIStODQC2eQCqGLuRS9DNOmLZmrT1VTX/jMMe5vYNqe8zI0B73YW
mnxIoV4c63hq9qPUdPbbDHWAaprBZnKoLlfCNZKDzEa17wnX26dB13/oTWIoViTGJNh4Zlp9UzNg
oNDUF6LSPjdm62PNsAX3J9bTVZcP6uNA53oCWDGgdw+ZZNBoAP8Cev0GnpklJ+/KPbszHKSFHeY7
vbDz5x5NKrBZCK0pWu7Xuiw+IWlRn1x3VjuV5cldllj9haEN88poIBCHQdo5jyp1jlP8zpXBFo7r
7ewXY8Amcsy3dWVqe1cfiFJiUHaraOkj5ucscukTeUfbdP1EDXbXTs7Zn44WdQk7j3FtqMwAilgX
0wpzoXpslQiRt7lDeECONN2PUQCJcmiMizBSaFcsePsXyokB4zwQDnPGnNonc/s8ZIv2A1PZnm2s
+dDoDgNIwraGG7ye9XMqQfmtk3hmAtOPml1dQ/OFT+YPmbakDRCKx/xb8xJzYB7i0znvtZboGABe
fJnclsOllzJ7tAqtRh2k8auoWBiHXkPlaZFraRanmfZjbSLdP6oYraoWYeTmuCDCMAHgdw1Lmgkz
sa+XgeHYuceGcxmNnpQrQkSme8zNxtFK2qbFeGsUn/EMBTd6O4XAZIxYbHvWCl40KspCzGLaCQFy
xQVnDIXBF2XCx34mv/KZ+19Q2uG/8cfcYxaXbgy4OXuFFbLatdpQ0obTGyDiKs9h5oQkNbWjv2Ke
YG4dG+oGtXsanUXsiy3qF3k2wmY86XUbUsKK9gx+Z7gKkck/2yXXLjVP0ZtrMX0ofYu6yC5N/8Go
M/FqiJm9/VC55LpWNbVmOW4ighQ2UQodV0UGz9Y0ZMm1H6TDrdMZ4+1k20PLAwc2BJCX2nCkehg+
9rDoauwgfXhmb6rv3cTuj7Tq1cWQbnaJbGU/VuwZH3FKFV8GsyQNch4LsfdnR7tXSBRuejqlRyQ2
BHEa5RCfcLg0+FxUfMKcxVs6N8kTTNDvFMZQPtoFQZ/EndaPEWIN3hQsW+CkpLMH+ktuY3KYdyJO
QuQa4QAwPmjYuNUUixrDxntLMf+EXU5wl+kM0wFFmnkOMsjCE4izneO2UDGYHmwCvH+HuO7cp1yr
1bZqRHdXQcC58Ff/wOhDPUWDke2yoA63oKOrayGb7rqXaf46qbbfWobInln045NBiXkhejDaiVGL
wB0kgne7bL0FYSZR/StxqJOeUV+VZWiQ0iQ8JlPaHcveqhZHYH2ACJldymqky0uiz6IeHbjwzbEE
P7dT3GqZXzyX5ozzcOrUXYCBN8jAzTmhCh4ARPZf8kYfNrI2x11bD3nKVldUhiehyCpMUyEA59oa
hq02mcwt2tosz6XS2vVsIedncB7AFAYb4TNl2Nsxm6OMYt0yn+qpPrJA0a6Mot9ngUP4VoRiSKvr
PUe1xyg0X2dxVu3dMmOfWhv12hhTMsEQ27FMNHTbTI+JSZvKpKfNkIJ0tH8iJDYnAdV0CLH78LMY
Qe7VRHWtwrp+1pdJc9+xgls7gzmWEJDt4b4Gur7pLDF7ohqQirpZf2dqtZ2BkCzcPQLDCVO2Q1Yl
4ojVgEAfudsqRSN00Rvus7ID4+y7onzFTJIdWTkZHjEG9gPjIgYbY2ldhQy3NlPhlxujyacTnf6u
Ned5L1HH7HKW3U/G6L8hDeTT+i/hyCCeyFWPV0XbtwWDPsb5lV34B9ewCgCGGhNNO8E9HRf6vTX1
DZNkVFc3ocongo4du6M3CslOkPlo4E0ipwClnvZ19Gt5NERRP/J8VGfllN3eZKTPNdMVb6AL+70j
SnVsRTm/1KHNRDHML35iLMNUohCDPvPv+QVkvKYCyFCV1M4La0ymyE0VXrNAJgEFZAgq09FATDgX
l9TM9XODhPdpwEnl9WFQAkzU+r7cDiJu9lAaRp3DSXe/ZpppEs+pYUSjJYMJb9aLzMkZIg+AE3RJ
mUfhIbdy7U6BtYw89E39Ph+XRSktsYTPBqPnjvoiyq9SIl/DjZZhjVpxDKzDA+v/GbwtOQTDDY1f
fRzcOr2F7xF9yThxplVoScIYxwqagSmjD2aWkW1JuYvI1TAeGtWn21HkM4rsBGdD5ofR1ozp8bQi
0j3T1aN1BTpjT3AxPB01lHfNMNxoEDTykiCEsW4O+NKLTYfzA4DomKxaSov1YmFb180wvg3ROH4d
SvHWRHb9rNL+RZYgFjCQBcUNGzzJkL9r97OKInZ75nBWpDZSrOr9abZEvSl8FjKqCcH7oJJj9NGZ
R7NyHsQ8ZMwUhsQT8EMAnOfNJmxYIYKWDTZ2aufbEFXwKc7zgdxsX9v5xaDdI8Rrd4NtSOQcuYRG
PPlvOOrNLc9osMvD2eTX0GUPkV3Iq8h0ggshpzCo577danFmwGlI5X2gyBI1c67OdSxmkpitFu4O
uIrgOGmq3zaqDQ41EdevUN9Gz9FK/wKdpEPJVRAkzRG1KprYhjYaoQZPfbw4lcayH+18tB4cUPVM
QkfbA62CVzXptQIC7KA85pnhNm6VzyIsGbRD5hZgt1BVIrYerX02SuPeb11y70t2cp0m/L09Wcku
mQbjsWVkvioFQLFE9sMhSv3iooZ0MladZMoIF1uLnuyobvfVkJR3umkCWhBRcGNFqNccNVuPXHSo
rSXo7w0xKMKzBic5RkbmAHJqO46WMv/KfNy5ko2dfuiTPMMck+tehXF5P5N/ecC3Y21x5euHvC8N
WBy+y1WDugrUUmJuWJGP50Zvb2292VKn6udEzbGH7++j5hcb0J3hNanzn/IeaSi4GvuDCUdpJZ0F
HVjQtJRSNTBh9JFlFiMXsKYQ40crYkbawEqSXUbGL28Mma6yFuoxFA/5AALb3uBK8PkJRrXCwOcf
v+ss/6RPE9YfnBw/9WlLgNl3fRqcf3Q3ekRMIjyMlWbaCSIBl6mzCzFWwF1hkjRoHypXjA8O+5an
yenLGxHOwckhMuOTHw2xBwHXwUJoi2AXdqz+R9Odt7qtMYhTCcMs2IyXnEEPQm+YQhB7+A3gx7Uo
JTT42k8W5lmw3Wner33R5jumFJZnMRNynEj7jD492JjaWNxocdrscZeRAt5gUGtL2/Mr13gSXadO
rWEzdqrcYqP43td5YiNgTxPMdLZZM5WtnPlQh0o9U6kHOxv1FsvH4aXo7UvXdvcWFQopC2xRcONM
G3sOJ9Qm+dmPkvkc9Ti97MTBM6kbtUvoALs2uU3HmhWVHtT2m2grFlekaIM7mTKKQg+NRPFxFlkq
NmXksLsjlLM/+0pNh7Ci2sVWKORtUTT9TYPkQduOHAdXU5iIL3anR28lSsNNaWnKw24r7gqm9sRW
o9eYfWnqXjH18mS1nba3BQbEhggENqNOF814vvXxS98w+QohCuedjZqnztjXjVW67QN6J7kYCUyw
RFf+YDuQ/7O6hZxmk4YG/q3xLLCyNzOpDts8zNGO0L9eIhykbFLHPrrjQXcPozsOB7hW7CV0Kmwi
PJqvEMEpBbNhGB8ArNjaGjpZO0Dkzsn7cQytOIulzu7fS+70vfwWSyXOLUxRHpdD4/FCiq1OL/+e
zB3emEslz0SRs8lZ6nvjvdLHQT1yPlD/D5rTnt2lJyCmxgVkQZ/Qpah5V3WgOTdNPKDJRz3wkC0N
Rv3ea0gqMw6jpQUx37uRbmlMsqVFQV5Pt+IvjctQh1zWchBrJ5zcyjO7SvOCkF2g+97yOO/tj6Hq
vNwDZR4xD0lGg7XtehMbcn7hCW9cN8HzE9iGeilzPAUuK5SVIEHmYo11vJtgv8wcYvRb7NLvy9qS
yIDLO01EEbkpvGCmVhZ3WWdYUAOplLUJFf2qoBQ+sq+p2PkuwDPYcBIzeVeuQ4cybOXwe1iHgW58
FJVtrztcMRdWr+qx4nfAmnppGZOleWQ8TR+ZxHVyFSYtkwKaTCtnUzy8d57yvQt1l4a0NMxkVy1N
KoqqfNtByDxXdLBIJ8GcLE1ttrS3fJNLo0vLy5haPqZLGyyXhthZWmNbC5xPuVV9Gps4eZVLA90t
rfS8NNX50l477532vDTd4dJ+u0sjTuQyPXm6tOeAW2G0Li17uzTv49LGt+8dfb009/nS5s9Lwx9z
SGd+y7+iZsUX9j4ZSJYhAXpztbeXwYFoO3fz9yeq8XOG4bfBF7UhxjihlP1T4qNbN8FkjZOzY8B/
Pz+ZT9WL9lTdDdfNLQKj/Ab4yN9/xfdUxB8scSbeCIuYW8tyefLVT19x0bFmso38HQnT/mtaQCJa
19CbrtEazWJNYVie6qlqSSvBwP5q2HPrlZYPet2wRxMydORv83hgdYfiuEXe7ptcSaJA4b+bbV/7
2LSlfIArzMkt82JAsGAtutU2IZJvrIrqTPJTcsQFNB64mHncmA6spHLuunF2dj3VFL1zFm9Ty6i2
UzNUJ6ew52c5xGiDBz899JXt7Aih0T5k0VCfuzZP0PMh4hQLuenUU9/dh2yAX5A/xJArBqi78RjV
j1ArlseRlPKP/8WL+gcYsSWIdjOkZIoK0sP5KYqycV2TXm+JMmgd65gn0aEVJAbbk+Z6QtBuCZdQ
b91aItQNpA5rO+rsHfHbxqfGCUOSbwoVvE19Nxyz1JpOmmM0F4eh7BP1HQw2dAUd62iv0925pAYe
7uqsxRlMfFXCoxlDJZ7UlOz1ltnByodnrjYy0BT6hiAvvHbiuzJdQeKkA/b2pZ47JFRZK1lDz8t9
xIaPqyl+v6bm9yvLer++wuUmc5c77f0F+4+N9P9ngmt4gi0w1H9t5t18ScPohzE9pt1vH/RtSq8U
2BrXZjrvSPaT30/p5S+OATGGB9cV70bef87phUPGoDLB1hgcJHh1mZ7/hq1xfrF0wUfBm4GFY2KA
/Wku/3dzevdnO63ucEyhs8E3jungW9Dgd+VflNtlxrdX7aI6nKdVNVTtQ9cHw1PYt/2NOQ4PnVZr
dzm9P8m1TCBOk+WC2Sg5Sjb2EKefsqTuX+qqiA5+4nYeZa+Nlh8ZrmGR8hSlkY2MQR/v+PSILBbN
bhBl6RcERK+4sCTxDK7mVaAmNuyei0vpDv5DJQK8lpXRfDQLK3shzomqVJA41vgJybSFfZcwcD4x
zSfM1WRqZcaSZLh4hgAK25Y7ty3uWTE+wXu11gYSyhXiKWAjmkZaT465FfcWei5w3mCjq3tmB6Bh
lm0jehj3jvMrIdqhre6tzNKYT8bE4AxIpJ26tfcRZQuZTthSxDSi0xR++tX1y/zcm0H46kgC1rjU
21dGJM1D3IlsF/u+7FeWNN0NtDq2u3EGD3pVSd94TgBfrrFB04NVjnsejHGY1mLuioxmtR2fTTRn
Jdos28Iha/X6p8JQLkZNJnArrnqC6erevrLbPrY5MGDcOlranMLKYKRjEgPXI1gruDL/s0/7/9oF
3renm2XX3xwJL9lL/g+2d//YRN2fHA188K9Hg/gF5iecK2XhdsCg/bvFn/hrZYKEMTDZW4xjuNJ/
XeEJ/Rf+RbGpQxluCIdk7H8eDfovpuSwceF+YJ4UpvVvHQ0/34A2MdKI/HHZw9AjCXfZ8H13NJS1
RlubGxaD1uhrp6C84nor0a/FfknTExteOkF06gH5RAH14Sw/KWYVnfuMQZl+QAvIZpkfk07uysje
GoSPxCyy62MLAXsk1C3wCWIb9MdKmDtU5NsSVWU819CIcNP5HhSWE4NINnNbSZRRXOXnNK73Fju/
RJq3CLmvbYlaqrJuLd+4tooVjoXXMQi3E94yJ63umW/cz6OPwMGEjAu3Fq9R2r7O6f0UoGFE3WiP
cqus4UqVzqHDcmyU1nVujY8lJtOyzS/S1r1ymnZpxmKReEJw6g8szhxAOtZDI4M9hvybzLcYqIYs
txq73s+QbldxkN62AUrbsonXkd0/t7X7oDv106KyYqJB8Ja/hDklnpO1nzUss1WZnRc7yHfvvD/p
743ll/R9bfj+S1S6cgEjGrxrfqoNJ1RWTYjP2EuralEfrjKVnYOhurGn6UYhKVqFhBmDpva0DgUU
v5m//wb+MF+wuaiw1uvSZhHMdfXTfAGFnVO4ImKXk6/msozOTldvMXEZmBxsG+KVuKEUlbslKjGu
5kd8ZQQDAWQ6ZBLYglp9mcy23uJTlmsgLhExtSRXoeg6j6RzYz9I1hJD2UFfBqtzo68tG4oqc16a
ZdBdoMGH1BtMJo4jA5mi8G3Gx+apovlakYWoM38Rn6fBB806zrf03Tvi0LAdCeOjWYkTkrIrJ+5O
CGVIP6rK4PTvH6RX0ee6aIqv7c8pJD+ckn/5X/3PrZz+Nq5kvQgcooDJ9p+ckXzkr2ckRZKjU6EQ
CuIsugSkE79iUOQviBsApEjS7t13HOBvKgeOSNdgvwDsi+PQsXjT/1o9AUhB2mCA8oH6YyCakP/O
EWnwxX94utgcU4gp3uO8yS0Cnn88IrtQKvYO8bSjU60+4KVQTxX6vCuM8gvxAUnWJxIcX5eZ/hfI
IvkzFQ+3PUV5xxB/KDzVozZUNmlENRjTY5+VhFw5UfoGILP71tL8xyr0H96N/x9EN7/+IH+anPPP
mnb510Vc2D4UYALw5n+XvfMv/Ue/Fct//on+tSge/FIoV37uC96/rfdv5+8+S/rCd929fUHQYy/X
NaU8l/i3P//nH2mRB7/+s7J+0Rl9uBK5zvsfSneKju9epb96Hf7+R7z7Q07RHz/PDz/A56LL2yXf
KIiKH7KFjGX28UMd9BcvwU+f4feXQIhfaGDsJRb9T18Cd3mFpGJeq7//4fL4b3kJXt4y7PcRzK7o
c/v9cSWoz/611+CnT/HdayB5DazlOPrTtwHYU1o0TpgF3LT8+faa/+ffBj/9AL8L02gg/xBM9Rdv
hJ8+xw8vgo0mjTaYc/79z4/PAvAqClBYV+rbG+G/61n46Qf4/UXgwqFW/xefh58+y+8vgyF+kfyA
gpvuh5///zF3Lr1tG0Ec/ypCDz0SfIokigZoGqBuErtFaqDnjUVYtCXZoKwW6qfvbx+kuRJlx5oc
lqdElGdXs/P4z2N3tRDQz4enw6s59oSlCNnEqWdnCAGJEEKXxC6yjjhGBrGKo2I+x15w/q95gtME
kjuEcN9iEU9LQBGVRVFgC55XesSDso7qeZHrs98C5UGq01JSJiRRxYl38zQD3unHFwSYwClS2uzY
t/p1WNqgz64mdXzY5vtmhSgjkC2uoXAaQYg+EoZ6HiUxN+WRH7BPcO6RVJSYCUmiLy1E3jX0H/16
jY/yFPq6vzms5QfSsVIiO5AWEQWVikA3s0Luq0DF67jm7NHaDhQQHOj71MW4iHVHhfKaDdfmOeBA
yvInIKM4OA4A2mMpEiBQrYgnizqFj2OpLzjhk8QgUWegDkAHRxhuqfyDhGoYiQVxj8+GBMtIUZyt
D8PrsGxAQge1tcfEzbfNwxBvviFCTOuIVAUnnmLhxjJAxEANKOeUCKsZ4dl9Mn3S8DhLuJ8BNIin
n9J/6mps8+foWZTBPOExgaBWbAYyMG9ZFwQ/g5yPJaHQCMDs/rGvw2MCxQO940mKi9MsIoPMRcQ9
+PfBAP6wYLdgRohkGUH8FJg9QFalLjHJSXkCesg0TqoEeBBhATIEGyABWOzKnG8UE864Jvgh3J5W
iTn1cdwCXtLyKDh4kGjMKnWP2IWMbEhROOvng6OSi76rimYgtpqZJ7hQuURZ4xQMixHnH/qQbCFL
soxqakxFoA+NMTljU0ksBZzO8ZpWLoJjCUXWVIoYEi5yBy/risgpCxFXdZa67IFuBwnMTJoCu1gY
UiwlKSktW1YBfGGoyScSXbFxrIeXgfJB7Dbxi2SXEw6+meSDjq3JpbBLd3gdnDzoy8OkegF8oDGS
NErm4waTWOUOA67tsgwIzipkFEekpjHF9pE4x85OakNFSxmXq2A3HawID0VaqyCWgnkUz7kejpbO
QdxHLqLO2R2PUy2dT40t3wPKraQ5+UChn6SBqMD35jk+wj6en+TeEXZZUZAixWCe4FwEIH9uJyUA
kZydQKIqjg+Tirq7skRPnM4FtPZMt8pSsL1w/ZOSi2Vox6He6C08WfU4plmCrgkrFrwO0heIrWEW
0XCnkecBKEj4PNVtd84MBif5fWrVrsz50k9ykVAZ+K1vFtLPkSSgABmxtn0bHkrMqBFKTQCQADPH
xaElAjXyAlUZ1SVpRd2ZbZ43iME3mIuhSeVXrr1fmB6WttlOdbGc+kLf3nH83rVtmNNi6M3wvni9
f2zs2LZorf//zitDmtaS0cu+1cSM4/7c/cDjob2x+l/Vf3jRNp3qbpZ782Lvpnml1nTB/LJZLDs1
dR2WraY+T+jnH7zpjszgi/S3W7U+btmQkuVMetWNydqaj5Tsher2aqPGhF0iWUy5XaubpVpNctqm
a6VDfFTr9W72o1o//jT7pNj63HocIi+lwYt0lE+q29AEdu8zyWbXxLSR09UBYZOxkhL+rO63S7X4
t2keew4YLbX1USn1S7VY7qd1yOaapAP8sWiZ/njmDolKCf+5W+xulk3X7T3itodATnxzp776hE1l
Tkr4i7pT2yf6Vz3atg1KSvuv9v6+9QyWiwClhK/Vul3NrtRiN561A9NS4q/eaWh6NbUTOc+K/91s
n2bvm82tWnmztzhAOvtLhTHHYD35N5C7hJyU+m+7O6h7bYNDjVRM+8HTyqExVUoXrzzsYrlqbx6+
cmPl79sVHdvbMf+HrjfxeN1uc9o9Dd000mEu2/8eOh8O6FYdm2CSEn/5DnuhAnxQC1AS/EeD6Zmf
Xah/mlU7XgvzQ8jz9Z+dr2x6BL3UPSXjqYYMjJRNl2rTPu58ZDAkfcXEm1swjtp7WgFn2JKpoz0p
+Zd2e4oX+PVdY8IhXt1xIaa/VE/c53C0p8PVgImzpAtg/MzLZ2MKf8RHXMHJsze/gwhdN6jW7SHG
f87tSDn0WS3gT89prbqTpTbpMNP2aIbfmH0YPMfB/keyLmwG49relLCb1g72PvbzPGWspuLNYQ/E
cRTa722Y+jM/xNbfuFk1qnv3PwAAAP//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size">
        <cx:f>_xlchart.v1.22</cx:f>
      </cx:numDim>
    </cx:data>
  </cx:chartData>
  <cx:chart>
    <cx:plotArea>
      <cx:plotAreaRegion>
        <cx:series layoutId="treemap" uniqueId="{AB5B5F81-FCB5-4063-A110-D54780267D52}">
          <cx:tx>
            <cx:txData>
              <cx:f>_xlchart.v1.21</cx:f>
              <cx:v>Total Persondays</cx:v>
            </cx:txData>
          </cx:tx>
          <cx:spPr>
            <a:ln>
              <a:noFill/>
            </a:ln>
          </cx:spPr>
          <cx:dataPt idx="0">
            <cx:spPr>
              <a:gradFill flip="none" rotWithShape="1">
                <a:gsLst>
                  <a:gs pos="0">
                    <a:srgbClr val="70AD47">
                      <a:lumMod val="71000"/>
                      <a:lumOff val="29000"/>
                    </a:srgbClr>
                  </a:gs>
                  <a:gs pos="50000">
                    <a:srgbClr val="70AD47">
                      <a:lumMod val="79000"/>
                    </a:srgbClr>
                  </a:gs>
                  <a:gs pos="100000">
                    <a:srgbClr val="70AD47">
                      <a:lumMod val="8000"/>
                    </a:srgbClr>
                  </a:gs>
                </a:gsLst>
                <a:lin ang="1740000" scaled="0"/>
                <a:tileRect/>
              </a:gradFill>
            </cx:spPr>
          </cx:dataPt>
          <cx:dataPt idx="3">
            <cx:spPr>
              <a:gradFill>
                <a:gsLst>
                  <a:gs pos="0">
                    <a:srgbClr val="5B9BD5">
                      <a:lumMod val="50000"/>
                    </a:srgbClr>
                  </a:gs>
                  <a:gs pos="100000">
                    <a:srgbClr val="5B9BD5">
                      <a:lumMod val="0"/>
                    </a:srgbClr>
                  </a:gs>
                </a:gsLst>
                <a:lin ang="1740000" scaled="0"/>
              </a:gra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noFill/>
            <a:ln>
              <a:noFill/>
            </a:ln>
          </cx:spPr>
        </cx:plotSurface>
        <cx:series layoutId="regionMap" uniqueId="{C3BAC33A-A134-43BD-BA96-71688337156D}">
          <cx:tx>
            <cx:txData>
              <cx:f>_xlchart.v5.10</cx:f>
              <cx:v>Active Workers</cx:v>
            </cx:txData>
          </cx:tx>
          <cx:dataId val="0"/>
          <cx:layoutPr>
            <cx:geography cultureLanguage="en-US" cultureRegion="IN" attribution="Powered by Bing">
              <cx:geoCache provider="{E9337A44-BEBE-4D9F-B70C-5C5E7DAFC167}">
                <cx:binary>1HxZc9w4svVfUfjhPn1UYwc43/RECGSt2jdvL4xqSSbBneDOX3+zLMktldXqsccTcVXREe0SC4Xl
IDNPngTqnzfDP27Su43dG7I0r/9xM/z+Lmqa8h+//VbfRHfZpt7PzI0t6uJLs39TZL8VX76Ym7vf
bu2mN3n4G0GY/XYTbWxzN7z71z/h28K74qi42TSmyM/bOzte3NVt2tSvPHvx0d7mNjO5b+rGmpsG
//7OWy4Prq5Wl4uDi+W7vbu8Mc14NZZ3v7979sl3e7/tft93fe+lMLymvYW2BO8TIRRzOUFfX/jd
Xlrk4cNjRfYRw0RyRB77PNlk0M6Lok3TmDrc2OjxyUuj+TqWze2tvatrmNLX/++2fjZ+eHj1bu+m
aPNmu3YhLOPv71b5rdm82zN14d0/8Irt4FcnX2f72/NV/9c/d/4A89/5yxNgdhfr7x59h8vi9OC1
BfgxODDfp4IS6hLl3r+ewSHZPuJEuIKQ+6f8set7VBYFrNJfb42XwfjaaAeDBczpDWFwcbA+uLxa
HsB++OvZ/xgSROxzxQAKJV9Egu4rjjBRWN7bzQ4SF5t4UzfRJn9tRC/j8aTpDioX6zeFin+ytzx4
Pzta7R2c+Hu+/9pSbMH5LxrpweXlwfHf9f/cjbzqNcU+5YwqF79opi7ZV+AzXeTS+71DH7u+N9OD
ut5kj3/6973mQ7OdTXFw+aY2hV4tDy5em/sPminfF9JVHHP6YvyCx8gVgrk78UsbiNmvDeNl23xo
tgOBhgm9IW8J1nhwfHDy1SpPVt6p/pWAYAIrjhBRiD0LXVuboJgIRdE3f3rvqx9sIr/dZJt8b5Pf
7p2Ym+IPoGSrOoW39Y/DdPDal+2Atw0abwm8i+uTA295cLR3dnHgzy5/JReU+9yl4NU4vrclsJkn
XNAV+xhJKsGg7l/iEZgHBG2bb4AKp3tndnN7V/8ELzz4/it20XpbpnZ2fbI+0I/r9JKr/zF3R9G+
YgRzl8hn2Ei+z7BQyEUPbGUn4py1ebz547VxvOzvHtvtoHAGU3pLNnPiLy8Ofr3BAFuXnHMgAY8m
8RwUd98VnAFa7GUakN9GdvMfWMtO+x2QDs7eFEiL6/XBxQHkfr+MwUMkciFZwo8E3n2ODgZvJxFV
8JH712PXD7lUG2/spnn840u2+7LNLB4b7uCxeFvs/frqCvA4hKTqb4n7v0+cwX9hShBIDg+Lrp5j
4u4TxClxH2n1TlZ13TSASQJp1e2P4/Ks8Q4214dvylaAQn86OPmFugNx97GrsMtgwZ+EfAl5DkOE
IabuGcFOyF9u7LjJf0Jz+NZwB4fl2wrvy9Xxf4mLUbzvEspBmntRl5Nyn1BBMIWY//W1C4zJ/kMq
tvzuG3ahelvhZX1wfHz9NeU5PLhcHq9go/2qQEPpPocklIMe9C2SPDUivuXN4PEeH+9gtd5kWbv3
P5us/P97h5s6yox9bWwvB50Xv2QHsfXbcnJr8HK/OPwQui+4wBBfHoSZ5+FHcQCSQYASD/GHPQJx
TwnWoBn8ZPB50nQXFcjg3hCXPj4AWMCCri5+YfjB7j6DAoSioJl9feHdMISRcil54NHuDi043gAw
YDmN/YlQ9KzxDjbHbwubw4OLk4Org8NfiQzblxgxwtjLcQg0AXB9oL69rHQebmy+aTbJT+DypOkO
Ktv5vSGLOZxdHBz9SkjQPgNDwPB6MdyIfYYgqQE94N6WyHMndnhnN+nP4PHQbheMozcFxtGBDznN
44q8lNT9oCBD912MsCKPOf5OkgmSGojTDBj0PRg7uszR5hbSmdeG83K4f2y3A8Z2m70hyzhefT69
+KV1GbpPkQT5kqpnAeSr+CwQcdHLSsyxmQr7MyWZbw13gDj+/KaAODo4vFwe+B9mMyD1v4oWYzha
IAXYhXoOxraIzYgrlNwJ40ebpI42t/3dXfnaKP7KIp403kHjCBSMt2QWB/7y039BrgT2yykUrDl/
SBrxMyORap8o5QpKH+LKjq863txG438gV+623wHp+G3lk1BAW51d/8IskgDTokzA8Y8XxWQXDhxA
oROc26Oc+Wgj97nJ8SY3ZfsTmeO3hrt4vK262PFsAUWxg0+/kGgRSAehzI+pfCC3z2O7u/VvEtwY
ellAPr4LoRi2GX+Caz1puovK26JbJwcLAOVXKshwLgcJrEAWe5H9umyfCfBx8sHFIaiTPS0zn2xC
wORn5OM/W+5AcvK2IDn1VxDrH1flP2fABO1zTBFjkLw/1lGeqF8KACEKDstAbfLrayfon94aCPqv
DefleP/YbgeMU/DIbyjUn137195ydnHx6bUV+LGUBHiXcgkWBAotX1/4eZh398FpEQmq/rfHTy3k
rL1t4eSrteNrQ3oZlKdtd4A5gxm+IWAuV4eHq195YgwSQTgpSBF5Mbortc+k3CaRD5jtaMSXJknM
TxwZe2y3A8bl21KCrw6OV0d7Jwf+9Wtb8oetBGEBB112sxNAAkmAie9EjqtNZtK9k81t+9ogXraL
p213oLh6WzTragbhfPFLa49Y7kOwFhwOU+46KoTc7dH0h6QdHj91VFd3EMjDnyo/Pmm6C8fiTbmp
q4ttEvIrozndl4wjqD1+R3YlIxLqjQ8OaieMX9lt9vETcfxbw10g3lYg/3pa4tefMAK2+7UMjB9O
5KHnsVwB9xKCcvJYz9pJ2b8eefj5A0Y7zXcQun5bCfuH2eXVnp6B8wK+/qs0LpBUgNtijuTz83hK
7rsSDhaxx8xxx1w+3NXNnr4D95W+NpiXo8mzxjugfND/p/3XywzwKRrPPvGjl5kIHMsnHCn+uOy7
AQXUFSFBRrlnvjsk6+GW0V+P5mU4Hpo9G/h/+crSX9+U+HZrwYey2+zrJbEnN5pef/p1enB9bafp
a8Zyv1ar29/fUVh1sIFvl8+2X/IsXD9S0e+a3MFFmd/fAQPeXnoijAvEIYXfisM9WMnXJwgjAQk/
lvjr3/PCNhHcXVP7cAEH7llQBSbIITq926uL9usjuQ8nYbcVZQnnlyhc1fh2Oe+sSMewyL8txcP7
vbzNzgqTN/Xv7zDEvvL+Y9upCWAgFEZF4IiUgNoa4+CFy5vNBVwA3H76/wU0QnmfE7JkXeSsJ9sn
XliYYxaQci2HXuqomkqfRXUx68twuDZ9Eq5znLu6Qk3kY7emOiOduomjGvtBU8qLPGuHVeGUzXEm
hwis+tvKvjBgYEavjhcW5ul4uTOKxqgRL12T9suR4UyXBFEt8sBHJSo1qVx07GYoADr0WseU/d1S
wRGKp12XgmWlLem4NGFt9DQ08UmSVGo+VUMxi1un8Cc3dXSLbaYTwk+Hzg5aVG7mu9INvbjkdjlO
OdeF02e6cCuppY1OiUvaFSlh9QQdTlMahMdB046ekUWhE5ujZT2Zi7KLZzY110mMeKabyimtLlPV
fUyMM07+WPXVWRFlxSJqsvayoyg8SmqpdJIOZpaWJFtnLiqOeeuaY5tP/aeo7RsfO2VxZHBKZmM2
VXNbNjOU34xdhFZpHi6cJnZ07kadH/YYXbO+GFayy/tFSlOlgyE081i2N7F160a7BWk/loajRZQ7
8XwqcqnjsDIzG/FiUZD4movgtB378you7aru/T51PrI6dw+bNM7WY+x+qCfiLLhbHtqRIX+MBDmK
p/A4yzKjy1BSX42x1bw1C9qXqe6U3DRZN/ldz3NN3HhNu8DRpBtPBxTxeV0lzaxFAfWciDbrshuG
edAGxA9Sc1IEE50PFi1tWFylbFgH0xj4oS39rkSaOKFXxNVa4IDrkKJqHids8Mswq+dmIt2iiBWb
kb6sdD6MiZ+NqJjBxCJdm7JZcSvQ5z604UyEfRNpjptxCeejzvvWpWuwGm2c9jAY3UozRbp5GQ1X
Q+d050M2NP6QMaRL0c5D1pdLFDlXOB/6mbGhq60LmERFEZ26bUhnHaXpkRuxGU9iPKuVCFYqF2jR
mChYMVYqT5EimlWFKL3YCO65bWn8bqDTlTNU6yoJZ07RdV4XZauJWuqnkUlnpoHdPHDqzPvSKXSr
3F7TpB0P+zBC3mAas0Bd9geT+VWTNJ51CV9UldJupK4g8/Fr0YaapLCWvGdci6RbCtr0XlJR6eWS
UC8lSuO0Lf3eDXTbuXzJAU2dsWAh+Ps8rxPP0lHpiJepT9M29p3AUV6Qxv6QV1ZXUsWLKu0vcI7Q
oRMyMLV+6P0h7VtdlI08HIsyuYwpdvxRysXQs8uk4IOfqMHxsjFCOmnjE6EGosdIEr8B9+s1MRr8
0SELp7cLThxnxkR40ZJBaZ65hyFPVlWmLoxqja7G4aoZzCEvjdc00UlX4XJZ8MnvZTcb6vdTWp3K
CteeRO1FFJXqmlSJmUMRZJajdpMYEngitMc2If6Y5Ve1Y2dkcOdVlN0gnM+aySR+KnHnVaSOvJqy
E3cU0QJPnTZxdW56d+1YfDrIcB0HOTnOROUQHYyjnIeByAtd0KL+A8OdC1j3HF0O9TivSUounBqF
88D0CGy7G246Eg4a5VZkmgzU3USpgfcwrdUw1Rygctno9W1LdVCV6VyMTeilUZt6Q0XzpS1NviIJ
cXTZ1qFvs4Sfq4AEOu2S6ThGVbtMnTBaU/CLfsLQdWYM8cD79Ycj6tsr6ypwFg1zNA0dtOgjXC/T
VJpR97lER1gOaOVWrb2ogqw961taLk1BpA76GD4YF5HXTTTymtSiI1EFp+U4ri2h44yL5GrM42ad
BA3Eh4S9b8cpmtlSJh7EUawtyeuZQ0p7QirVekgFkd+wNNHE9rGOk2nSbl2bVSiHVMeORQsnNGYm
UReAs6v5xyx31jKYwN/FzMsmFS/zXsU+lI6npe3lpB1cfJFhvkRwZ33B4Xa053RJsqxd84k6ls2Y
Cc6lobmHo8CZD/XQ66SLulnvxHiVlXF+MlkO2eSrcYx8H0GVwBD3OSYgXctthH0S8VWR93FeT3gJ
FixLDwrajkfbutIqldJ3rHR8U+HkspnKZpnkTnUSbK0r6lx0iOKgOnT7xmr4WYGPwsT2POkj108i
C54vxHl+wuUULBOMjB93abg0QZMvyTDUMzuN4BhytLYVUktZhl9yIR3tNHA1PrPZOYzDmYXN9oDP
a/MFcrVLGJ5NdxvVn0w3ZmlKioTjpcPr4KK2A/XGUdV+ppzJe70rINnfdyXhVwVAZWNMie3zJ13h
3gmyJhnw0rTySyPTSo+cfaaqz33Ly4+vd0a3zGyHuSnxpDegqE97c0yQdUMRkyU33dnUcvqBZlG7
ivvwFhtbeZVImrM2SqO1asi0bJyB+iQpuVYibI7duF3GgKRfw9ZMRTXM47pt1m0ABh8ObeYbAxAm
vEd+1MTcJ2ORn6E4ynWZ2MFLBwzfVsRG19Q5GraButqGbAax+/V5voSfgtQHS4olkF70fJrYYRF2
khovC7c4L0wmllk86dZE/G86wttv2l3Qpz3tUOGkGfIIkZAuu7DlSxa4d3iqO50iUnh5Iv4QJFd6
gJxZu1umUMq+gNMZr+3VLWQ7IwDGjwWXcFwBoN2a7pMNlGS9QA7EkaWoeOglIkBeRkkC1E04Z6Zz
SKrbKk3+Ztu+NPFn3e5watIU4NyKni4dxsENWH4rEwyR2QaJNhY563wcTgKntmfpluXIvkn+ZuIv
DgFAhqMzcOUMhNEdp5QiPNRlZvCSmtR6NYREw+tjONIReEHDHZ2W4hTOfgDfpOIzeP1q/vrKv2C6
8Dshf/a/4yXa3q0LnIds2aTtZ1qb4aTJA7rOKgFG7ISgu7yG8zZT2MUZrjdwwBhDUs93Zhv1xrFN
odCS0zo+wn3Sa1MHzez1Xl6wHFjPP3vZmVNNEe1SXrBl1gxY9zBBXeds1mSi/Bv4XuppOxW4Gw2X
BuEK1PN9i0u3zadJoOUU9L3uFf6QCncFdvs3M3pxmzztaMfnQf7RNkFqGVhnKe9M35zGRLKF26pA
m7Gll0nYCKPDLT2utkSZlE0JtbDXwHshZYb6oiRgonDszoXc/flsg2joK2kCumxlXC6n3nZXJWF4
ZcxAlyUdrovSTfywC6U23Qj0LYwqT1Yp0jJzNo40yawsHIgOwC7ywyTMPghL0zNsyPvYiuJvEmb6
/WZjcKCAw8UAKAgh2OPPh+vgLgmyycLQwvYwH3mhcYTMophS5AlnOh5cMczKFi3bOhp02JtSQxLq
zM2QAH3neTrrMggdtstXQFODWVxgPyshp6kdPGpIIr6UZR+uUJUBhaPsEMuu0iaTkJ6NSnilY5pZ
ORXArcqg0l16RwzCeuyrzEOiY0d1Xd9TnAdp6Ozeku5VjpuiHK0Jo4dfIfr29l9XRQb/ff3hjT//
uP0Roz/fHT/++tGrn1rcFdtjSPXuh7aj+fZdMJiH0W3FoWdvvlOq/kKLuv8xpb94+O8JVVAYx2AR
3zbzd0LVk4Pnf2pVD63utSo4Kbc1YLhuDRdM4QKpgs19r1VtzzbCJTq4wwiCPZz8dWGfPahVGAqL
HMMhCEhV4XwKnPX6plZBxR6CGZxngScM/iF+SK3abtU//aZkgkNYJECU4eor/NyC2tnKouZOKRu3
mfGaL8d8PBVB8gWrfN5BRHKC5rwrki8VA3r6ZJUe9tNTlUzJ50YEPUNggkQJK6jmcZjLTmQOI04n
MaXtTASuvQuYRLpljFnd8w6HK4ImFmsD30O1NM50AdFsSFdpF00nBtflF8bdcfCSsR2EzhOlPhZq
LA5jwkihKzOyzA9D7sYa1aM6Y2k11LpFXTSnPCBeZGmxmEQn1w64t3lYu+Wk8zEAQx1DpAdhT/sw
FaAf0ZsYhbnfJmoeuxR7jRN1Wlb5xQgSim5CNBMOQYdNNCDNBhtf0AGLTg9DR09w4eCzNMTJiYRU
VOp2iPsTquKr0FXQXzAO9WKgIjsHFzJLyvgopnF9nJSwFIM74ckLBjQO2iQGGvejSbysqLobKhx2
3ch6qL26xeGpka494nnGPWzGQBNh2q2EN0qPNDzWNI3D96bH7oXg3TALpqj0w7RY4J6052NRMT8o
muhjg0IKDMkyZz5OCS082jnqtHfq5kswEHfQeeHa0Avjxr1tyr4GgasXjg6ti64HNNXwTwJ7zA9K
Gl3URRWkOmdjkoMuEYLClCVjv1BIRYeQQvWHPXfyI8KAmVCHi5PBZOwUmclEM5KM/KxyEukJVqMj
Uw+t15ZDfjaEfdh6E3iuXE+VbNZCZiCalmWQLwrWDkddrJp55AS5F9vYncemmQ7zoSuvq1zJ1qvK
2gl9SXnxngxO7ZPGUY6WCegxi1Z1bnEWElrEOmJJVsE+gLjodzn4VFaXbqO7omVLuEVhSq+I0PQ+
SwlKrA5k2DQeGXEzbNXD8RQ+11ea9Dm+4w78VtosbLt81vHGPYtEX2MPdU7IvdaK2OPYaVZt3TGh
VV7E3SLsUJHoGlTqBYvkUPpFWPL3fOzkNJviUQS+6PIAdMJGKS1sHce6kOW4CrJa1hCkeXnctlHz
ucoJbKSkQh9DVER3QSPLG1gZc1EnuXsqE54noLakYz4zrI0+sjwzkTatCeckzinTcD2xOxOkhV4m
EgGHDBK38cZUss99yeq1mGIxeAHrUmAJHeQwfkTxOCNmIJD1pOMlKSZ6kWOVVH6PSTP5cVahTE9b
daTKpAhByOzL8y7A7udaFdEHKBmnasaULY7dNE2wr9xQvO8aCIiybfEwa6kZNlnR1Nd96KZEE5BX
NhXINpA/SSfxMbagxYk0tsircIXvnNrgy6gps/cdj4NzMVD5MW9T0umIpoHjk56iqzCI3VYziOjl
rM15dlmIis3qsRW9DquwzHQQi6T2a9pmdG4i1cSw7qkD0vIgiQ4jIaYZ5DhqgaOutV4UTlh3DRDR
UU5dt4ggj7+wfVcN2g1RejglkM3qYgzAiyQyC3udpb1zOpZjnXk4Ucn7eHRcoxEqYiATuSxuEALF
2hecZssJROpaYyeWI3hCIldtbmA+os0KsPhYxWdOlkZnpJG8BQmRgy4z5bg/N4Wi7wFSEMpLkQkt
VClmARP2Mmxp5LOS9TM43Zqdp9jEs6mshQCxdKg+0hqiCTgzNH7qEROfwZkDoqrMHSArEufcYypz
XK/qwjjR4QDcUDsqGyYNRt5QrxlgpFC3WLehGHMNI3QdD3c5uIUuCHjhJ87UnfSN6N+nyMaTN7E0
rnXQuQRUWtDxP5mm7rgH6SMvZwg7OfP7EcXHMUj8Zw5X5bUaB555ddBJNQv6nH3ss6m8rcLJpj5k
7+DSDXKdymuIDSevTKMJ1Gdlx3CFAwdUL0lpcpLlGYrOChT20YwJ0JOLToTRok5p465HB2Q4PbYY
rMsWmRE+q2Jn0wd2CLwxDGw9y0kezOu8Lg1kBZLNGa3i1O/LKSx0QHOHebBxbOdXRTKEmhVOlnhF
D7JuFRQjqLkjr+EjULeK9GBVe2QhdYMmalq7cVd6JVHBMewk+1l2Dj52Eivft7HN1l3WJYdTjMAR
o1qkSxGNEEGTvB0/ZHDwtfVCZfoT1iQqn2UJeOoJ0m6rxySqKg3HmeVtkQtxOSSEasMQ6JV9iZIS
TE7aL2PbRedW0DLyDKh+sw65/YnKejyHiXYeDYvsQ16Edh0mqjAe1C0yHYo0TKB0NB1mJEeeI9v6
UILpzSiMfDNBgaftI5CnJeKjnoBI/REGPD1hQVv3s7YPQHxMqJHGIyUckVsGISiaICurYIPCUVa6
FU0yHhViTDGoLl30AdEBAdAqNbGnhgFUxxLD3IYgGj/SiYorcL/l2WCJWIRoGD8VEJ+PBOizxlMp
ST9BZc2lGteTFDpEYgq9LpYGeaTFlavrMZm2nB7Zz33LmzMmne4kGAJyhmTN7+jYO54KzHTNwZBu
QFMImNcgYeZDkS4IM2PpqaIJjLZpY28n04Wlx6taQtHAdXi4BY2cG1a1l0WB21WLSJIeVV0nP/E2
ir5MkGdEIGVWXQTSfgIpWRtHkzW6GQbCVtPAusorwkB9HHEpNhBdzLnAOBrAbZUZHjRp7ZT6RVM6
DdJVnchTFEDI91g3sWGVypzHnkMt82vbcn+gaQ1GMCZ6qJ14UxE3OCm64kOX2cjPbTD4UYwLz2T1
GM2BGFST1zaO7A7HiIlLAaJx71UjT4WXBSzeVmCc0s9gJXAWjHbWlg6NobSpbirS0MM8EorrQeLQ
ekHh1svKccRRy/CnSgTVdTJQ9odKiJsuJYJtNnNJbSqNCZAEzVrZfFHCiStdtbJrQffl6gJREQbz
tqPjqFUSBrUfDW0M1klbEuq+pxY2TZe1eIZUnERatYNTHLYdYx/6poIdlYHcCkQoZRD0EYQ9m6I6
12pSEC4hwOMvNgmCAvx0Gn40Nu8mz2nZcCqMqYmPxqybRWYMMy0jielRMmTj2lTG+SMwtlXacGYS
qD8q5JU8aT7TqqtHnbbG+Rw6ohAercd4M/QUvIBLsqLXeHLwZa5KxpZhVwI3YXjqr0HcQBCMnZrW
qzGAy7YatkAfeEkcj+HxCCLFBcrTSc3TXvSpNlA2sV5L82rVCCJvs4BYb2CBp9wk9W1Vuh5tsJjz
jkUf+gGqSNyZgLHZIMI6yepCd2i0HgkG1XluHkyxbrBzM+Kw/IS4lzc893oGdZLYnZQOG5XNGVRQ
dR0YqtuphM7KkJy2sQrBPfDIz2iHtMNHPzNDvgxdPsR6hNrfeVyCXt1nuZqT2qYz6QYMQm4XnI0B
hyRbtmqaK5vduBPBH2An0i+9qaGI2xkKFlZI90y21h7FICc48I2pvJjwaIoZatzo0hlxdkzaHtYP
jOL9wHpwVymlU75QdTx+CJiqr2o4S4B8M/Fh9FsR1ljjsWy/uMAGb1jU5UIXCn6UwStogGovg+zm
C1V1Z73JiaIrVo4FhNiasOO+pqM2xIliLySwC3Vi+hyK+1Cs/WIcCWXPqcouexCZG13mQdn6TjZK
o4M8jIBUNs1Ali2jg/LHZBjXDDYikN406yAPgEiLkigqNGcjjSCM5VV6kgGbz/xkijsEpdLUzkIs
zGWZVM5FMU7hbJI01FMmJ+WhyspZT1QPNaOYOppXLRSu0lw46yQNOoj3o8l62MTCvSoCqAVpGozA
BCFQphWUc7uU+QXeqi/hJCJHm7IChuSwEZZWsuIaN1k2Lw1KxKxNSnQ4TANUYBooS9deyOv0wwjV
z3qdOW10l8jQRlB6DIAV5U4GFBFuKocNiCakeI9aml71NVK3JAuLZT+OQ7lqDdhoDplxAUVkG29i
VoRoDmksP+3HZMSaOnnqahIifOiGHdBDN3dHKO3nSlEoawcMnAP8jPEAYbiozq3q485rMtiG2poJ
CHbrQJpTM4vOiISyzWGqbNPNR8vQlcwt1b2T3uVTOkidDCoKtcUyELrLnDhcchHitbA9PymaDihk
1PSuWptMoXVg4VAJuGUoeIL6b89qGpaJZgnrAUcOaV43lPHCwEn8Va9CXnpOEd8KWSOrqTT4ELJk
fi7i/BCrCem+KlYZIdPJECXX0SQyv4Hka1bQfpHXLF2Ywml8gkOieyJOazCAU+MEagZnPUpPplAM
LyTQD1t0daRH2SQzKOVBYjGZ2IdCZKuHrkfzhFqzyCucn/esyc6y0RZ+g4E10kyPNoBuRpYeFTk2
M2eEXESOA5CLIRan1OX1PC/SZQuBzYuBX4Z10p/lwqL3KM9IDQ42dv3M/i9759Ikp84u619EBJJA
wJRL3avv3W57QtheNkICAQIJwa8/2Sv2jvh2xD6DMz+xZsvVtwKkfDOfVM3fdO1ssbSUvzieplU2
yu0Qa/+YiADpM40tPw2Rz851Ukc19AltHFaoLCyzemqvhMDqHUyb7lVoOv0g0iG77M6sUTHUWV3s
WLz/pHNynNJw/jtuQj01zi354nT2fQhcekkEZZ904s0/KTbQIsEbZE034CWRDad8bGsRV/iOKnja
OUuSwrPRQ/GKeXzrzRKe6FSnY75mG3lDXhRcu1rb3GXBeEq4cO9jMqkftQ33taDhFvx1NtHzD6Yw
BkEAtI4edJ2G+9FItaZYSakvlzZqwnNrx+6fgCzmthEBZelEhg1MehJCDYybWg+dg5pUMs2eMxIh
9CXpZA82Xh1mnHBkWWFbMtQYM6EUSvW1Z44peJKcjSkWqnRlqyqhkebL+O+ys+BX+77waHelt20d
lt4HuClcSHfABD3GhMMgmfYFHeZIFWNimc2ZJvzHkqzkzxgjgC/R5lVbmc5pds5c5rNTP61zUzAt
IKJX1vE/acO6soWTc53XeX3YpN+TIgwFhKklkv82fbQMeQTQ5Rm2wHBaLGMv0YJwtWrSEEtinfK1
bOq92YpxnAeQH32yxce2rTGcy047mnNHw5s143jqFgf1tKTCbIch8MvvZdvT5fivnfX//dH/tfL1
H05nzOEY/t/tUZyt+r+cWvjFyZF/v/K/cD60WYH0A84DNhfhIG2kN/9lkXL8CwxSTr64PbwIOch/
W6Q4hQweIrKL/yb9/gvn+zpUFkR6BoMeB/SgQvP/RPP9zwjzX5syITBH4bfCK435V1DzHwEin7vA
ESuXg7HNOr8KWCJvexJoGPlDxh+jRCD5BpUwHXToh0MULrLqliYu/+Nt+1/8UvovoPg/rFr8GgmO
GoJB9dX8Tf9Ncv7jNwljxyGrMloNZJ4/VLrZsuZZfXZNT9+sarObx9i+c5339eCLcbCntMuCikgf
n/C/2kNAFLAxJfofsQCQpSFWYXRBvZY9prCncNnq804hZbcssw9CtqLP5RSrKgIG8yxmg71+ovqc
it4UwRTsS+Gbrq4Co9aSxclW6SbThQjt+kkotujDwmNdyXTLrtwqTHwZdaoA+KHAolhPzqbm/ucQ
aFpYGT30LQtOKZdxl+/zwn6GcdjdY5g1BnheZ/fch9PV86Vo+eZ/Mbbs/xBl4jewndlx2Ji7LGqd
n9pOQSpLoVpIhHX4tSTpfLbcmUcRLeQSDoSWXKT2ACR7eWo4w6Kl6VaFkl26YTz5NsCYAvn3vkUZ
QiUZbdiuJOGfxNZZMeDsiHexZsHBjoqd4ZfV+e4Y4nrRBAe8JDx6KIJyWIU5zVGY3ZqArWeHoz9K
s3UHvTVbOWHmu25L0D5YrPXVuE5jldiJqsJOmh22ZI2reom2qon58hZP4Vhm7cDKpJnEa6fX+BNK
rq7MNpuKmTA8jTPb8adNT7vC9NPzYL03vZJvdvXBt3Wd3AGioz7h7J4QUpm24NdGWbDduH+mXqYV
75V+jvoUSrrmgb2vY28ubcOiEkP6ARzNPRLTKdXBNZ0EHHMf8IMLk8eESbFBjzak2JGB0V5TaHsT
VwmcxqNi25LPM+LRSGxf9kRQYoBQxSz7aubzE4YfnncCKRaMAl2uvWlPDHNIOS5mehiVWj5b2SzQ
NMsA67fB2KOD4FcCQLRKnd4e+jhzZbbifmpxWx0iOyMKZDNGEDvzfxqzZMcV48c3UJBUgx5y2x0E
oMbPHMhz6Bl5smA+HsMR6MoEmrFcd+y0faYf264zuejtfhzh8D53XcyPXRftz9FSy2ragxYkAR8K
x/f2SW2tfsSJ1k3FaBtX2kp+FhONilhMILh0SAsHYXEa1nH86DRjuJpwM3SnRKWz/i9bRVORNevf
EIRAem8mKfE9hsKKiZ8c0gAQIT46D/GSHrVuaMX0loFHg4YoYMBllWnCtPC+HkvTsPZkYG5XCu6J
PybxgOFBAUI4WBa7BEsEx7M2K14Go09YrvutP0nbsQuwPVgMzPPHdg7Yi/NrEer5wY/7fszcEN/T
IdqOXztsGTlO7k0KZhKLTEVT2Pe2B8S2+qIJtb06wtrf22DE3x7wS5F1C5isbK+hZdbwEdPI9Nlg
1T8x2/GLcW68a2jM865dfAjQpH+c8WsXk43rl0ZH7Ccd0/bC5RKfFoBzvw0SnReszClMjMH8oJOV
BUlkXcA1hmUyttZq6OqGqzMQ7cLj5p/g1Vu7HWNMXmspGtljRh0hmGoBKRXPyGQetAuBFlnTyLsF
nF0KA+5WNo4VAoOfzuu6gR+jTQJxPYWsK1K4DUtO2MpL19YfLArqx6hvh71AbDzQfBQdrnPWIon5
3pPUPgd04F1Ow9l8zNO4F4rUzSNf4OVh83N30OPbAWvadoQHrS/r1ovvI9HASdPG4LkWLlhyIIXq
sI+rbgoEhZ7dxKjiSxJFdVSxMfuzKa6a86j1VK120Ze0A1oXtdly2uXQR/Cn2ZojE+FHzFHwanHC
6vi3HdQ2Ih0yy99kTr882H357ElmTyMfHrUIvk1+nU86QNSMUQPyUbf9jsyDZBgGOOKBHZHd9y5R
PMu5aIbPqDfdOZMbfkC4Jud6bdMCqZk+C1qvXRnAUZiLBUHRExGrI8e+XmFKcbm57Db2NVF/OAgz
+0JkH702I5y7A4ys8eeMR+FnXVP9MXQiuE8N1yKvB2zQFTH4aX0Gk2SUkQmwSdXRB/T+p+qz4Lql
sa+vYQQ3g/N150W8wOkLW7aygn/d/81okFr4tE9LCWAWWO7G/5KNxi/YCuf0vCayk8/LPA/nJSHt
qzUTJAFBBFkyMtH4wfXZ9BdAMwvhBCX8m548+72t6XZexjE+bq3jV7659E/WJyTKaxrKUwDf91bL
CGB/MK3TKxUxv2uPd1WpLjk6MkV5NAcTf1E1n773EZ9eIqzWr1s/TSepA4f8sqHxYVQi5XkWpf7O
dsAUUdw2VTJDu6xRnWDiWZOPWYRd+jiTOpEXp16CzKXITGG5RxG45VANNRR0Fk7hN6R97fc1lpbm
AFL3GUFFs7CqHWz8g4di0o9yn+RQLa2GIzR3aVh1JDCwKRADPhPNBiy3QfMs1nj9BLdM3lmwstdh
If0lI3N8oMwPjzVI1nfNM3GGqoHxzB2+BbTWKkumYZiDtV+P00AXQBBRCtc0DZ7jjSK9nOxc6HUf
/iRfoVPqgmAraFO7d+OJlqVCMIRkRCv/sKmeLtW+bzC5d+GQkzb94E+SrLZcm+Zcz4P/JZJgLQez
iW8N7ec73JIeiLsghe4jVji8wcXusH/2ciqCzKdngZTj0S4Iic2UzWPBwj6AFkuP3stOYFGFdTYX
CtmqvyKiDCK4Taulp2T2+3qZBykukDNDuVEixRtkA3+LZit8kY7Y34+ZTMiTmrodhg9sebUPfEau
ycwLvuoQy609GuvXDSaULnkXJgDJ560SA/zHUs9m/hxrjoxZxtuZSLocagVbIxYsO+gJ+NdAku5Y
D3vz6PYtPiwR7tFImPTGgwlRYAOTuY3yMfqD4oI3+pMDsK5j9A+YutDk07gV7G3naoRnCFN/QV8O
hwUJiS8B77tvgdimp84gTWKq7kBdo8XzgHGb78cttFyWs8qOaaBk2aisO8o6jk6yafgxDtu0JJq7
6WEApVKksYUJZ/ux8nVItqfZAx68DMMe33nWuycRi8DkDiH3tVWZenO2FuDkw/AYu7k7yzmWT04I
NldyHLY/jvZdgj7OKr+lS1aXOohlW2ZyTlgh4R+PxUrY0FdDn1JfeT2Dz81jZ7DVujgR53RGcCBb
5N9FXfcwfEDBn3Fe2Hjgk9E3ndjwQa7JBN/Fqg8/CEYvrnFBKVfYRKesrqfuhBhM30CK2BEOLybr
sF0L7khwcsyRXwib2FO0UpDUZt7CV6w2IsaNa4H2C9/WpVnqqne1u6gmuxmACSxRXQXRMx4b+Ie3
NY5nOP8d8pa1Xuaj40twSSUMfRZkj+gLwLPbdtr9sTppHhVWRez+cMBy4yNMD3arty+sXN+TroV6
C1z4MYZt9oQNbroO4RpdEV4sB8CW9hB5RGjSD/Vf2P5dpXA+zqOHDwABndgWGVdCsIqOwUfAd6wh
m69rX2SjDo9q7Ocq6eLpZV85jB2/UPZg6jAr2mz3P2PZ1c8bVvEjBcSe90sMWUZ0V9hu/mMixGO8
CacyicmInbOpITp3UsZkfagNREG7sivDFarkppLK8XB4H8G1VRwbDdDHSVZ9Wyf3DTDvB7HmYaJ8
OcxqmI/dQGePv3pfbiZu1JUjbMNCQjt7GjBjlFkj6DmEY/cc+bgrok5fu6F757T/A4PtcXEpOkZE
qGLyKoR9rddz0KbYmeRcDAlSek6W/bGbpv6324x9HKC+YKjXzU3sSpx42qyXhPxSq8qXZYngwaki
bPx2YuB2MUvtK1o8W38g2JCa3DUbLOa2aU6gPraipjDDxNm38UVs/GZ0c1V7y+9N0pCrTltkgxKm
T7GP8Vh2xAWQjD18rwnw/uzWtxEP0yHSzVDwFNlViHpFKVKnnpsNirY2TXRNFxs9oySWXlw4wtYl
sPGSIG2PNZ72q90Sr3M2GIQni0bpx3ZxkWy4NQKPQBZ1kVPdcX5Upr2kajmGYi1JKo4hGh69QylC
x0jzSNZe6p7IwlDprwbAZ7lx7E35Pgz2TJKeHGQgWd5EsTFFD2il3Hd/itrpNIXQEHvk0gJQFpAI
LrtzvfdY/2ADfZAanGAh+i2ohhlWnWim7BPFjOg41xv5ZlJI9mxqusvod4suF2nuXRCjCrRm7rQ7
SX+AoWLfeLKPL1DA8oxsz30oXQ9npsfghTgbv6h9Ulgr4xQ5lTbiZhYp7qKf4FBCtP3GUZ0YocmI
LAw+1z9MTHEeRMvNT/I693VcbmH9K/TY+9iGXEGBFWmDtwl1uCvdHIJ5kLWnACzG2VOb3ZHxZK9p
LZdSN5MsBgIB6xLNqpmRtIyT8RYKTYAGDSUPa7APEabIsH+RzivoBG1+Eo5UvQ9YDdLFBOeZ0ZNX
e3AJWdtXwAeWBwBi8yXJ1EuMfDZGGyqnkXkY6Lcp9HerwmpnyGwW/l2J9VGvITkp4V/TTB6aoAcp
ZU61Il/bEriPmgyugDT8hurVZ99nJXXtTwNjo+gM2IIm1eJFApc/ZQsMQWwz+hapleI+NsM5S9U1
jUV/aXy0X7kRQZXEaXfqVXoEbDQgAxPdqQ51e16XrjkyZ19Dpts83bQrKPzScnfBpHBzDPwcxhiu
dtGr34zK4QaDFAQCchpeSos1kobBScDwLOOlC49N1teHQSX11XdxXwVZM58ygkk/15NMbm2Dgk7q
k3KfU3c2nYI5npyJFVfS09PO+qkaSRu/j8DtbmGUsPdWRiPWXLdkVUw3bIwKRBnPFbIWW6TSxocd
xbePYM26MmUYUXYeQIXt6AOIIXSvY9I/qTjM5QbYI3W8ElReln76o31s7uCtAsTxaagrLPCXcEzL
yZD+AItpPMtU1cXEvEJ9wWx3xGmu5AkNfzP8fcCILBpoifbRpw3S6QyuKn3yoGMOdehIqRPk4k03
VoBawgN3C7LFGt0vMnwyJOUvrgYBhN5Ttj33YQxIJg24OSxgAI/4lMwBOWyIt16BTUncmqGZEzRN
Ppr41usoKvnI11uy1enNseHetEDhdvInYhGAkz25ZNmrD1XZCva0td25X9pfoML+bA04hTwcBwhx
OqFchCBmOs3EDAdsm0Gxxp0vJQ3CCujF+mCVI5iyg/aEnQvVmvhEkrlcI1euYapg5fenNB3wQCV9
hd32D1/pQ6Dj7Dgn+ykOyDVO3Y7K4HZAVv/dUtQSkQowVNmwHbwaEm4PrBbfLaN7YYbgg7VZ/NhL
v/wMYrSt8O9AFiFbEgwQZzZhGoNECV5BItwHNpWj9GGRANW5TdTUuYzpJxbwBlTWFH8w1pMyEBwe
+0Y+gFJlpeQpEkgjDtDQhRlVsQ3LHxvONHfYmvMsMUgJbIpopud/VULPXLTnXvlCrP3bxFvIy3gt
2sk1+YQN/NCD4YO5cez09hmMaYSnJ1BVu9Zhm3dRt7xiyJ4PXdTeZe3aY0aWp9V0kHqsFU9iZu9y
yLYi8cyVpAuhFwkco4RQhAUz0IipbYuopR2sPBI9eM/nMu2cLpWRdRlrXtEZVKUZBoPkwl0idUPa
cx3XtsXjqF+t7FFv1Jc6m7NTO9sHvmfelLO1WWkH0r810+A/M71c5D6rvMPAkfejRwOk88dlbKmu
Or8NZ5BF9hAoTs4BEfSEQox7mnbX/GgUMQWe0J8Y+d+Y6Yr1iY6IJqZ/Evhcb8ichzOB9D0LOEMV
CMNbwDsM1EDBDqFP0lNEO4nZxD42PewWa4fxgxG5n5TcUOJsg5RVZBxlrhdnymncxhtN4JhhbKgP
IP346y7WtqjD3d8HcBrwMimfzpxLW5rAt6XO/C0A/Jhnq/S4UGFzHGmNHh1NNrTIR9a+u9hHD7jP
Kmq3G7jB+SbraM8BlcH1Ou+SphW+dv6c5yg4o2ffIjoMtxI/M/k97vV8ctn6mtXytUfX9ZgMcjya
bFQfgYbzPSG+BE+A3wuNpkoB1/iqktqqwT4PnewCmK9RBBU+vvAQWdQOnbDtSYS4K5j0eR/VWEzr
+j0enId1YMSZt010Ry3oC/IXASziTqEGDPsGann1LL0l4CBBACR8TMpY4nWgqlwptIBDNX21axqY
OWqjSBilf5ZzM5FSffnh+BCsFU6qPyhKm29qj9UNvKG+aMb9WM2tBJwT1DMAD+C48rgqoX4YuS7H
RbH4MEBpQlApW/YRduR2B6SWm2SkAdYFMEh3MHauuTm+XYHSBB/o+O+5HDF6VGD5yRs+BwIAI02V
mvNu6OXNz5BkST2Sk0P/+4qmqcbdqfsd4NfGk4eE8fZaN/N0wpewKqTtcsMsTz/arIvPZOHT31mM
kI51NN9Wg4FJByx8pjpuHsGQsOMkDFq8s4YAInwiVdNa7Lxu7ONb6Jby6zQCHOlKTS7hUtyQKdNX
29Pm0m2UvmHh14+WM3F0zQTMNjTTdKSyZ9PBhz2N825C9Inhf8TWl+zFFk0ONtuEnL4YNip+phzr
BUCXVb1Tkt5thhJ5sq36SaIuXRAf/amzkP0KGUF7AQfV1P+gN96/QYZ8l1kMJlWZZ2rnN2SIrnRf
hpfd19Oyb+NBQTtfQSLido1hfKVcuxPiSf0TsWNySsdIFmNTh5UbQK43sAfLBvDWU2idL5AjLB1i
7hS2maILHq0IBh1H5bgfksPQyvEhVQzo2OST4yKWd7eJHm+++daSaSpM2+sjzh/gD/vStC8gb6Yf
UZOCgQzrZD2y2EZTAVpD5CO6+gCP3oTIsjO6VpA7dgBuaa++lRILnpeXjSZ/W8j/nMl+KRUsKKwE
HoG/AxbxRroem8m8K1/ahegb3+snm+xPvOHZs0hSD3yyGw/DQn9rkeJmjFt29z20MfBJdgXJEvwE
u9hUQKp+ZAtJT3z8Itbx+bXF5jqIsIyNASKiTp69o+SEXRejMb0g79XvsiPxAyW4/XQSNBfr0+CE
wW6tIN6flxaYoUcwdUim5UYg1Od0cUe2w5WsHN3ns5p18OA2n8HEiN4EWNNSqx7xilHgqgPuSksl
LHwc58C6sVgIewz26auSHO55WsfyQtIGQ7FSGZwhrq6L9i+EGjycBmcfJOtKLrTOXje/RFeh9WuI
hygP4/VgHErgfunehk4+bAugPcHHKPdUtiTfFToWRWz38MS1WQ4UCgdrIaxRdLcyhzV5TdRwzQa2
CLgABujAtjbwqzkWZJKZ8X3LAv7PECdwLQeRFRAWOy5vPJ8H3Ibllo4DKIpdjYcRy+J9EXP9ZPZ9
v2wLT9G5W7oCeD8gQf7MZ6DpNsp+cgm0xDe3FG73MYoRjpuNPWfQRddWgN6d2rLtzcdm5WfsBhit
MzjMaUjyQD3XsxPljoDl1QALLmgwdC8sHMx1moeldA0XHzGV/KRAHpern0FtmLQEmpyUkxijKknB
vPdLljf22SNruoN7lReJZ+1n7+u2LrpkhOxeDLwXG+MJaHR8I5YiF5uiPqxSEL2Ni9LSE3NGr2TQ
eRTv7THdEAnaFmohB6KM7aQHC1GEcRTCcuT6yKY+w2VMe/oRTgKkamLH+Jz6Tv8i8Brw/Fg63PBN
5UWn2/uSwqLqAnoYsL7ds62TCerePvi9A52usB+CbF53d25GDZovA4vxGbcmeMPcz247buUPrztX
eHjsAviDmB+xLqCW3dio+8F95n6LZMFcB9MgcwiFlIr366xj1MkEuPiPeJnbRxd4PMabwkVAxrSK
h3pfJdjVpYXM7ABZvHWEz2fhhx3LlQkdSOkkfreCCH3sEvhUuokHDSczigaoQdo9NnEa6IJ1PjP5
3vTrjrekjcYCZ6q177ZbzRlxFGSctrQ9YKKOTkBr2z3nw0jxWtqDw1Or+5SJ/i16FhTLBqzBRoFD
82WQZTjR3x0EHwK3HYZVHkhYIrMN06ujS4uVYsB/pR31fN/4ICApw/hTS1TMc/xzON8DMCG/WEfb
pJhpPRxG6+J/JAT5YUdX4ZzWDb8jZfUPFjw07DFkwoavC6CvLn62HGhPLpIGN8qU4OpZwdkpCGqD
/ElshcRHi305XTqHVHQ49iq2Bw3erUiIbE+hNy/cR4ghu5qgyRHFQSFr2d2XgPtXOGviMA09sB6U
54s0mPolrxVHQ3ED+oZ6B/eiTHDCyC/AXYurAM5Nlzno+ncKQKqkcGVPOHyAPYK6VzhIok5XRNE4
PYNNHKoyQj2DoWUYGt8ekCgepxU3cLOnP1Fkbg7pVEvgQ9FU7UFmzwMd6CM6RT+zGY5ejlMY0CZe
3fdoXCwIsmaqVLSjMO66ko59loMBsnkt6Fbwpd/LafvEwSFqBmTE6PCARBCsvZ3IezNOpduUOWbA
mj40zo4pfTMAoJUWx3F4gqMaOnNhOsbUkezmhClQHNAar1/sGGKtt/yHrxexVVKnUxVmztwlClqV
hwX2Eqla4fAFHUdvCJv2gxAoR6x6bQ+LD/z3eiF/uh2mgwJ9+aiN6T90i71jUCnallnWPqPZy44u
5l1fmGwSbY4Uhe+F3Ovs2sKWxNQBEvVN2HB5SSgCn4r2beOKnoY42iPbIAkaAHhlw7Anx+j54NQY
/4oTX9Dyj607gvXCgAb+CgnieYsGRKfMJdXXTo1Dfziw0F4XI4CAHKR3+OEtzu3xFiRttLjuK5gl
pWxXV6EM84bJDCplicwxHUZ2l2D9Dv3WtaAq6Q/kb/UVQkTeOqjJop8w0IB85Nd4xFLrpOyqDdnf
vZMi/pYEe9U34YpaEdtO87IkJzWO5jrupD0oO4cvYsUZNggZYHOiHzXCu9nG6bjotX4VzvMH2JX4
UyRCQdTHoiuiafKEdzWCPoi28U5qC5g2CLXPhz2hwCjGdL/p3Sd/t0333RHpC2ZApG7+spoM+Hq0
4+6Bl/rW7JF9ZHZ8Cpq91HDz7pNf+DnqEpnlqN8N10Y3MOOmMN7xAuPsQY5EFdk+/J1WTnS+ckQq
ycDsPx3QgcMSdPWJNR1+3jCP9EggFK5R6E9dv+EDfBwwnipzAc6yamLdfuD6/tjoJI8eJgK2LuTq
edMTjG0ePKWcP8NIiqMA/Yx6BBGxySPYdDB3kN/hgIOIBTbfmeXVqjgiRUNAlO+eF+mk7fdlY9uT
3LA/jlMC9FhgMEB77wp2fZ7RUomx2SAzh/6fNtG+LFM6wS6WM3tkDVboZQifkDUc2hX3bx9v76SL
1T970Ldvc2aSf5DAZbfYkktrJcNZV6amcIvoajTWQtIVBoj4Z4BA9hHIKw5K0prgrsAROKFi4481
k8uGsoFTNPcthxUMzfAbHigmDzqxxwYHaeFsGi8HXLj+EcG/Pw9CZ2M++yi8Nn2LR1uiKOOCeELv
NfiOUon5kQnojYIPLrzCfcZu42Qsf9cwKzEmRCs/spXIE5idDBfITt9gDH1vxf5r9VmHbZybd0ZF
d26neAfLT0z7STB/flu2ELGODcPttBrodMwaM6apsAMdgJmlbLLWVSgo6ecUh1cVtU75I1jepKIj
TgZDdQTAO5y+5UDmZogOelzBZKy5rFdMokuAfhgr/h1wFGyJw56YZyReOBWmHQhcjGb2pzSgGaKM
ID0Gk6fPQxS6WxIgeV2wHr0A8giKHU5/CdHun7q4iU50WZpPVP7YO06eQgEyALWCtCcEzBFE7jjb
L38chRjyIOkK3yk0fYrAa5mL1ahyaGPARKjouarVG4x21yogxmtTLgGht9B2ulg0BeSjd05Rt0sT
WfKJ6ypN5r+StAtOMaonm88SOINR3V5RRt4SePsFOtfZkWM1rZDv9rego0+x0/th5mArabwnD5uZ
Bsz73v9yHWD/fE7XFIey1KvBiLRnD2FL+heEtNkr/T/MndmO3TrSZl+o1ZBEarrdk3LwPPvcCMcu
W/Msanr6Xtv1d1Umy+lEEWigb30OuJUUgyIjvlifJdc3FLD9b26YNfcg2airNfZ8VwzBth/TtFJH
0Wbhe7lRZdzE9GUkD10eBqTsL2mMKy8oaYaYTyl6F9r2Xyu3focEr3yxcuYCSzKKk1zCT/21k2Ms
+pyjZLgWH3v0Om+WefXAEylZfFr7nRqBFe6Im/Jr45HYoSmtDbSOZAZLtwW3Y1bGWb1kd16dk45M
wvCu8LxXXVLWJyXq8KZpt+aWXMZ83POuJiLW5c7pEM7QVEB+cwiC+piEm/0laQZUH0KIz5Yv3oVD
8jFau+VNNtBvGyTc4soB/FG9XFsG1uJtRp0wRw11I8OA+Imi7X4rOjKv1dq8KltE+M1Q3gqOs2+b
ICdvwCXqRbTVtLNweRIvuyBqb8j7fQ8R7kp7u09TCkah5d3R5EnRxg5TAC603H7Jhj64jFUdxZ6U
9UdHBWxcEzXp26Zo7pzWV/fkBNCESOhXueP2n6qSiQoBThy4JkPtGihUI4/3x+uWTvNZTyPGhX7C
4sa1cmQdrUK2Y/fdZSknEgCr2lzwZCl12Uza1Vu2aWT4lOTXM1+O9kJN0r5X7vyjGxxyPWPq3QCb
IrVXUYp8xb7lHdF/bXfoCSTV6XT9ME/p+ipskuUGksP+Dolldd7zhJRU5DTveg4X75Zpc89pVndf
t4oWzkOm1vl+relryKAv/6RpK/k0jyWcop1LKRnppC+J/L1/TXkp+tzk1Xbq8pasQdZap7Jxy7PX
eBm4HA9teha4b53cz1+JZiRRvme0+kaLmN6QG8i+05liKxoHGnkUJCKROzj+/eaP8gty7pX9bB/J
Gq7evQJxNBzpgajQbeXUEzwZfe+TSN5xUEm/kyTkDFFcU1F03L3NuYTXXASUB6HnyzUV9NlOUGUB
l7Knr3viu5/IbuRf0aftr8ltiHMaJdZ5hwD3I7Ok825bfSoHSVt9SIokO1MW4Hrf0Mwioi54j6cn
KD7Ve0c39LN3c0r5/NhJVd1NWVH+bB0xv2/4vFKY2RJoGb1HT0FX1eBCCnm2iiS5o4tUXPqRbw2X
58Z+U1Xb8pU0i/+SklV1DttQQb5b5PiaioF8Xysu4Fa7lZDWrG/FOIQXf+D7qarkLktpac+EN7xO
+9X522tm0oolMUOnNt1ekq55hEFDjcRmd2/HEnYH6Zn53b5TLqZBWQ2nqgm6yz6QyOggFx27yHV+
ukWY3KPQ6eirtRTNGVuisjc+hwN6g9fkrm6Jw2Xo6X5fuepzdSZbQDXKfbe04KCKKGrpPeHs1ST5
e76unHk87tJ8fsXNUAcBtbSsvB/Lav3oL9l+swGxOEqrmqhZc6w9cUYuP0dFt5GMtpLsyywDcm5R
VSykHchv7+hq2KJyq7wENnCM0fX3v5su9+Mwo3o3TrU4Rlw5j1FBfxrVne092bDpxvPouln2a+69
s9X4E3HNRnNe6r3fe2e/nbcrfs3doAS4eXTXlYtPToNKDKHa0wpQL6RPxoC8wuZbDgxPP2dZUsGu
11dzPr2td2dCGUeniIqS8IKajDNnmltxQ+nm/UhzBzdmGAu27F1uVaGzeFwqt/DnbvkeX4q9+Vhm
zAFN7/QZV35729Kr8moo1PBaJmN5l8Ft4wqPUJDGYRky5c4PNhzr5Zxs43T2q2s3u1dV7EH/C61Y
URRutV0yOI7OsQrbH17fJufVS6qv1bSllFCQDH/0K+ofHuqrN7SVF3+V0Ti/8gRFF/K0iGHL2arY
kYrm7f8Tufz/f6CQ761qpmF79yPN2+b/wph/ydkdEE9P6+Af0YL/9f//U/0eBf8bIi12c6GAyRV5
VyzZP9XvfojRNv8U2h7/laMi/+V/1O8igFmLHj7yMRQSuKn8GxDySzIPSzok3Y+vYxS5/40A/jGm
w7oyRmTASUHTvUcuUrWRJqfz5KGROKCe2j5nrr/iUPCvafiNrv2p4a///kDMXtCxvy1rE5z51g58
i/zdTj+kKxeSP4//mEL178fXAFxRvZfspIlP16g37m87B1Yrm2XhOQfcF2v3QIf2lFz+/GNP/TEa
ymTkHcGIo3C1Xk9lB3a6FJzf5ocY//1psh7DzP79x7AMHk5WECH/LiBVnhXnqJeOs0haB226vl9s
IRnS2KJmBGFj67t/Yn/g7KQ/2v/i7WiEuC5E2RFcf3CuomC9a2mjV4gDVJY/g596jJ/511+kE5TC
fKeFFTUyN74xWO78TQBl6crRzV54ZVa4Lx1VKiQ0Y99sZGMq6fQXu8nm4ebPM6rhr/79ABovjNr5
WHrj5p1VSo8gRNcwhpb3E0F/j/CmT5eZIuMWWC/aBX7LmbRkG3LlSEO3/q/IZf9+Ag28VaW0C1ce
Mv8ldL2jGOBaekv+zN/3xIq8ts08XDEtkcqlZPLO2zYGX+x2A0Mwq+L1n2fvqdG1vaEKwd6Ogool
rfr5Dxtw5YvGykv1DEXvqeGv//5gb4Dl7HV95nn00QTzJ2dB/7omXKfMHl7bGYZqKbrO7b0zl80d
Sc5qUYT1u7YNDB9f2w3cNXVCUtXsBlBpqHb4pDMPfU8oncz+Am07cCnxNKRlOFq0W+C/GfHMmj7V
02Q9s3c+Nf9a9I+hrexl9cJ4p5p+3lKJUmHNy3F4ZoKuy+Tf7Kl/rfxfVPAH7zdqS1kpTshxy0Wz
viyDQ324WjYnP3ExlZHhz2ghLmRLcrezKOhNyp1uGr9tECo1TgWbLZ+W1SzUpBbHfTv3iVjrkBJ8
uX9ATpO9bhBlfPjzu35qrrRAXmgxpl8C5YlL4f9cjUMgXqQShMPn0gtRcPz5V55441IL6IyiW8ml
OoyHSsJrqXf7dZQ6Q3UwG/76sw9eeJvkG6X93Y8VwlgyDcUqv/p7253NhhePh1dz0AaAafx4rngD
yL7qs1QWOQKz4bV4VtCEISUVCMzGueQdbOFqgWjaKMiY/YAWzyUkkJ7MR4iQpkYe0Tles5yHItiX
N2Y/oAU0SXgxOpSx4mjM8k9BOI5v1jztt2ee/7oWfxPPVzOgh6+3pnZGm0AaxDXFteRdUNe9+iT6
PbLvoKVFwVssFoR/a/S3XFtFH/4YnVECbJ4XxJ2QU440QKzRIYPzapvFs9DimZaP3ocVFMTlmHby
drxaMRwKJelM+/NfcH3S302XFtJbWqR2vbCe+mTrhlOR0lP+poaD5N+lU1KX5zV1t+ZLRS/eX6pJ
l+aZmXvqzCO0KKfYnAQtkvC4rcKqu8usMQk42ZcRx7pwWgo5oUgq9vmYUzuvL+W6p8HJl4to38/2
5Ktn/v4nNptfdM0Hu8FGeyFCDCuJ68BSJ5EvQRwGlXhmMf5ihv5uerXdwJshyPduH8XCRjF63p1k
hm6Y7Ht100Ui2F6nY93+7Cy51DcSOID3CuWe27x0gzAsvgCcIWnz5xf91B/qPl6qYVN4XbvkMu6C
ZKTDaI9+dOu69Gab9vVy+DASqoGuaSRLQTxY3UJ1yJEVRIww/YfZ02ubhnIGn56BVMZpt4ZfPT6l
r0bbqs32bFfbM3qRNoVlBWRYK24yR+WEFH5IYW/jM6vsiShzr//+YJWBCto8F5ZWPG1L4tIEOAz2
t7VziLjMzez20IBXAM+/+136vav30TV7La62f4ilqVhEgx/7IXh9ilbuSH8cxXnDz4Wr7R+73Mue
Ek9wJhHpnOkmS0+7TwbW6LW72iYBjNNuin7dqazQd7s3lNz8oSue2YOeCAn3+u8P3goWi0A9+DTE
hZujW6F54ASPyjVcVFroc+tpQ3Tue+xybzwAcPoMf/q5U+tTj65Fs+OTrF6rdI/TYJteqq1B+lj1
GU0KZhOvhXNGC04naF+MQd5Hty7qfDSOoYzNRteiWXSz10FO2+MpIUm6CPpQxtrJzZ79F9/5wWsN
G3cP54DXak3uFeCmaJghSWm2j16dHx8umsK2BntJxj3unbwis4r6b/bkfvnzzFwX9m++F44Wr03i
ZfvuWEu8WN4Prp3lfIGX1zXxtICE+/NvPLF2HC1kkS/MyGsSagkE7rtoaouzI9vS7DruaCE7NRyF
6GZdoKB6iHMiT52KrTHcbhwtZJ0JDVe4FypOx0re51UdvATEa/joWsTyoU5KesYmWjyLxDmiRkWT
k61ldjKbeC1oPZS0ECZJ83RX2UQ5pdMLlcAtMhtdC1mdDSJoHqheewO1IcN1o0Vt6eRzn87XRsRU
0SreeV+3aGueWfhPLEo4KY/CCrlyKcMwmc99BehNjDT69nA/zB7d1oJW0LnnJkU4M/PW18HlfIdq
PTF7rVff9oc7QtlRs7JG/38eXbq0W0JHMX10PVq9MFFh5sznaCFp7F5Hp9psOroWraU9d0lFr8F5
LaLsqMJSHXyffkmjJWlr0UpFOmxt12Z06f7oc0nVOU8NM1u2Fq3wDKswTxk82lWNthH5Ylb6q9nZ
wNZidZ1EkFRbOZ+9CUHJiuYIylUymX2irt6oD5dMnXVuQ4uDOkNtRO+U5T9UAarXbNa1OB2BJqAA
XhSM1Qx4svS+WvPoGg2OvfHjJ7cTbxBbZk3noLebE/3Hf48KjZnJk/+HS0g/RmvBSVidC3rwD36R
o0AcaOk1G12LU9gwFiVQ6PJBpJyXAMvFG3jZ1Z3Z6Fqcrkq68CsiFe/0ecEdQK7knSzAJ6PRmpGR
Fqo0kkW16tI53mTdUHNGZxF3izt9N3t+LVadHBBnu9Z8WZOxAvSLXyFV+u1sNroWrGqgiSulNTCe
IvEXBIC3oxRvzYZ2H69IXM9gp2zWFOeZhdOX+5WWBrNcoYy0OI1yWG5OE1BLX7LwpDLvQwtDwfCF
anHalGD4o1CpGAeN/Iic/EUAxsVssetWCpRvl26kYeLcVOs/8s357Hr1M4ZKv/9U81V+POEwnFM4
BdYGb9EZJwgbY+YfNgiSRlsv+qnH48/oxrJSDlMMVc3+Iif2AUwXd8fopIGN1+PhMVhy7SppVVy3
w35q1+BblneJ4bRrQZqEeR/M8HVjbxugYdTgm8byucrrUxOvhWjU+BJ4QT3FmMxGCLxSh37wpPts
FEehFqLu5E7DNOQsxwxohaiXL/QBGL5SLUZ3CdsVsJGKBw/hnhOuX6s+fGP23FqMSjA9S455ZWwV
4weptpeeHJ+xBHpqwrUIbRcIS+icMU1NLPA9RfKCnjuz/ACfhsfr0KHpMtgtevd8O3qNlvErGPjK
bGvRPQCtjHP60DInVda8bdP2ArnbbCe/uoc/PLrIbtnESgL/3O4zLojuvfTMvqCBFpjd5k30lHC3
82sakdo1BvJtVGaVV4fmhw+dV9MKsYSH7uqPO4DXIvhktPh++co8yDVUUTF0NPHhI5qV34Y1ehvu
vtk+FWjxqPoZ1vLiT/E2Fs6HfZvcuFBiPJk9uBaRoknWpgDCFY8WUgK3KaHBRF/MxtYisqzy0Qsc
2zp7Oadby/b/lpEw/LDpfoEs7B7YM5/kLPfXA04F1glM5WwWOFee6MOFAj07mKQ3W+fefw9eOCSL
bTQn+CQ9GjjDI0z22TbFCuY75NmRxsLe/2A2uBaTC/UuujKS8QyZ92apqO33AgSH2eBaWA5K2SUd
GOM5rLw3QnXfc5BlhrOixSV+VJvdg98+D7V44zH2qmbTsa+b+oPQdJYcM40VHeTuCui7YVrc9RI2
mtmsaNGZjbjNcJ5loXg7nFO7+Fj5mdkBy9dic42UXMqIyF8BVhZHWyZ+e3I5AeVmW4uvBWi3YMNM
rWaKU9n9bS3zZ4oPH83mRftkznTvAb9gXpQCO9sj6zxgQxaYnSN0pdaQzQH56JUHpyNDtfbdOtN5
ZfTkumljUQeAUEBzxTRfv6wQHNJ1ATTWbHAtQlU6oI1UM4ihrnqLvhh4WmZ2SNHVVYNnwXAV9Ri7
rucelxpchCOLn2bPrQXoRkVhDOsrtqvyv9Izc5cH3nuzobX4XEGZlKFrDfHmwKuo2gBocV2YyTCk
p8Vn6y14X6MViikh0WW2t8AM6Moze3QtQFXnjmXmYCEOBbKuDqMarHvAZNs7s+G18Fwswa4IMjZ2
5+0fIye4dQy/mQ2thefEh4dGeMBiJb7na9fd2nVttg51IdWchCV4K5ob97nPzvOSuierar4bPbfU
Pp/5jup8WMsxjrLuWEpQu2CE/jz0dSn/Z8lF6pKpxSIfPHfBQB/R7Ck6gvziZe939BIU4EqOf/6R
66L+3Y9oH1GvbNYGe/ohrnLxV5XJz1ZXfjAbWgvRFcVj5QfJQPzPkFLGAUIhJjKx2ehalGIXQhO7
cHlw6XyuZ4veeqv7ZDa2FqPZ2uM1bWdj7Lk5ngw0XW4SEmyVPWc//NSsa3EqszQNaTxnSa4W9H73
Q94b3sWlFqNV7vVcmBk62aK3k52/ToRvVIaSUotRbPuSuofGF4ukdmMrdKe3TrrkRkpflPmPj0Vu
MNvenLMSoets+Gb0sZCG6rRf6PyHZy5wDda0jtkQNzNId3sOLj0g0IPRctG1UNMgFagKppzt8X7e
3PvKW81iSGjhGWGvqYo+HeIgSWHE7Ns9vFmzupnUlU7wNuhBBm0Ww5p7I5z+xWBPhs+tReeQU53w
F6uPRz+EDkOLa9mbXeKEFpzJCtU37Yoh9pmZAxjChZbmOjTbD4UWmZMoegsuV0/dBvPkwS3fKisy
O4LqUiQbmMfWeHYfp7moi8NCouKsbMs3nBgtPIsiQpVWbMQN7Zwgt33/XZXbu9kb1aVItFb7CVq7
Pt6jwT06o3zFl9Ssei51GZKyGpxW1pbl0kbSLtlraRrDeSyay2c+pteF95vvnK43Qgts0/DZMPdp
tgTHhuRZnCSyN6wj6HKjrVSQ4yDCQesdy/44L139U0UBPcxGe4wuOIKOaEvMFOCLZduIEYVfHJgh
72I2uhauQYAloA2oNFaV7+KOjYhdcPs1fHYtYoE/O2Thmy4eJT3mwHzd8u9yW5vUcHwtZtd88IcF
E70YSAX0man+uFaO2TfP1T+nbrvUFvydeMBg7mYb7fGyVG12YzbvWshC7BAb0IDuSnbeP9ttkt5I
qEOl2cTogiPBPgkzk9eKH10/XgIVYlrrJZi3Gv6AdvqlGFe2TTcz82Jcboch/Jj1lWFuXpccBfDI
0RgPXRzI6X2ejm/pAn9vNO+60ihNNiyWqrSPgyb6q2kXOlXhaxhOinbu7UmZhxYo7hjftfCvgKLC
jSrr2WzJ6EKjybbWbcedOSZScRBA+nKwNis4m02MFqrDZlGjrxjdo9P3cKVGl81zKqZfmdDf7MG6
l3mfr8jrQhAqM8YLyYFqMW3PNmD6EtR8lJY3dbctcPYAkgs4PT6MOai/H2hxC/o31J3H4X0U1PC6
qEu2N0XZYAgNfJtkfLriW7Yc8ELvh49L71rqaG99U/7dAgztjzh65+7J8ci1n4NOreoKdaavGWDp
tN6q3gqL2A3WTN4mbQEs3rHJJnyxUPZuFwez8eAkgpUxF+hbO4CCKBvptnN3dcFcbt1P41yL5q/1
ai3xZpL4bX4bHXhgcQjkf46Hlb8Xq5YddqU9e+Gxwa++PPpbAEkhdVrw5D7WmTwyHejv3TCCc+r6
0K3ycdhju43C7bLU1SxB/cnUO8/BIklhg46QRwCzNUyGGczDMRxyEYDqywfnfqFPObqthDPJeGe2
l6Mnyvl2h+jyqqy4W8coQAuY5MmQ7O8rp2gDs1PIL8H5g+xmvUrllwrfeDwsW7I+AIJTvDfNlqe2
XwqZbBwkqy7O/PpHIsv3SZCbPbeu85qpxKwVzuaxp5J4BBCTeI5ZclAXecHFF5tDBil2IwziEysq
adR3WrM50VVeA4b0fknRLk5dvAXXsv/pF4PZoc/Wrh8F7a1zE9htrDbVvaIbLL9pxVSbbWW2tlFm
fm6rBvx4nA6lfCE5v6L8V9NXo7Wia7yGGkOTuZvbuIRY8mkIAYsPmKZOhtOu7ZR9k0+0iURtHJFU
PsARBEyfmnWaSV3kZRPCngSXGG9tl9Qn3ASgRvV4PhzN5kY71ThNjmeuYEX6ae2tkIQbSI+B5UEW
N/sBLVDhay+JlU1tTKHq59LJOw8aqNHDY2H3OFHQqWWY+y1o48yO0JFNI6S6o4gK96fJs0MIeDz+
7PU7QHS3i6v+atUbtBhCHMl2QC43+wEt5750TeXYa8oBwXbkQQVLcc7z3OyAICItZrtgSYodliLZ
iAmYjHL8Y2cttlHaDX/Sx5Oz2LRKe/DJ6aqtqjtfzDjz4unhm+n7xRXY8DBRMxZNipCpZRtuVHCX
NcL+izvtZpQKFpEWtMGKvUA9cl4llbXeYpSq4sCeAqNFLyBKPHp2V1Qqyq9fpyKv8cZd+vSgAIMZ
rho9ZgdnVSv35NjaGvEjQ23+Y69Vbab8pDvw8cN7LkhW8Dxd7Pl40N+WEW4IdrIs3jO1wyf66rg+
Pv4BeluTxK/CJgY5KoYPXZnP7TEJGnhiy9haH2g4e2VZEGxOnOLK6JhGXEYvmYWntdnb1/VhNAWD
Uyo4fy5bn4VHqy4AUNRZ01VG12ihC8R8G8iv2193JrBLyT08R/rOtn6bbLOtT5eI7bYaaK91QcQK
J4dZtxSLPBSlnM0OWCLUwtsf93poXH5gU8Cvs119xtnzu9G2F2qhXU1QESOFkXg3XE3DUvETiJ3p
g2uRnfY7dp/wbuPZlpfKhabvjkYpAIrCjxdubVl2ukAQiSc5Y1VlSUoNy/7ObFK0qJ4AfqXOMjdx
oobwrDIoXLWXG34qQy2olwA+T8MbjXMAjd/qYhHfB4vPjdGz60KxsZBNKxunjjlrvQrm/b7q07/M
hta+wSnuXRJvgyYeVze7c6ohPMAaWsw+YrpUDH5mjluPqGNRgrY6YNzR32WBajKzMNUFYzJaW+E3
dh0HXlMc+yi8KSWAe7Op0UJ0wIQ6TaK8iSOZLS9GbKAx4y7mt38e/TrKf97Rha4bu3qEgtzn+17t
sufIb49pdK5sp23PPre6xuyMpWvIQrwWQl+kbWwrMXWHzJvwfSotO2rNvsXBfwRtPvZzlLM2r+j+
yX6XOonhstdCFpLFFNoDz052zTvlA6n8XUGH/fMLuO6Gv3sBWsg2LEarRBV4doIheTdvVve+yTyz
biahy8iqvHGU7Y7VdQ8O33a18OIp90KzSde1ZB3ZBTupm4piOFmJtg/fWjLNzSbG107NapuaTeFm
g0IAhNOR5sP+615F7Ww4vnZuBkiTJPjpVvE+BN/IHb2sg+yz0TvVKWFytqlW0yFI02qbAIcf1fxj
Eb0ZekP42oc15/rWZMl12rswIeGIBWfte8psufval7V1C7XuAw+PqStpJweTF5Aqhl8oXVIW+Xuw
eXDBYwy0nO3U5OgRjriKFrNR8oVm/8df7xA8YMfJtopx18EMKLXtNy39fO/M3qwWrZufk+FaeuuU
Ouna3hWgL1+5buepZ57+Vy32N9uBLizzpXChJCuWjq+8+nWPK5q6ycu5Hy5cxJR7gXmHM1CPc1P7
wsIQan/RBUVff3UdIS/Kd/fbQFqbd8BUWEFXwHSgfF03HiB5fFG3HDRxluzf2mTL4ct3fHOPyivW
76KW8n7uiuluy7P5IhIFvXiHgYGbR53L/UPm0N/ytrxyKj6APu/GExc2vHPseljwNkf5+arAJ28/
8X+P+UsBIH82O0jqgjh0jdir05B8ThOneDVHZfTCzV3Q1kbv1NM2mhYvuStxuYzd1f7hu/3byEnf
mA2t7THcNQET+0uJGwg628qVt247PgfSuA7yu6WiHQyUsup0H9cyxn1GiNth3KvlFG2oHk54dkXp
rR/5VfbV7C/R9hynjzxfzl4ZW53ln7Geq7BartKPZqNre04GTJU7oijjucXl3EqAchf46vx58Ot8
/G6e3Mc7gmNj9lMOqox9aNDvUVXL1yGU2L9XeOXPZDaf+glt07GTKEjdri/P4yowEM+mHqOSwzyQ
bL/NFzranrlUP/XKte0HeUKqZr9K8S+ayvKivNVBHWZVZzynQxe7O8Oyk9BFdGlG7iTBry/2G9dC
6OZ/ZiMy/IDpIjoL4AiJgKaMHcpxuG5fJuE8s0E/8SZ0EV0g0HLu9OCeyrQPptsIj+9LG0bU/f10
rmwjdYGQWlx7jO3neWCB6QAkqApg7FGPp9+fF+wTR0KdOzZuEV5wG4ZVQeDh0Om3IfYYjuFlRWqR
POekIoVysjiXobx081afwig3u8dJLZBtv3OqKqiSkzPnd3YiDrL1DedcC+NN2BU2Pgy97/KcRP2l
zl2z+6GuodugruVjVCanMnfvA8+67/GWNnuXWsQiK7wCa7En7oqlvyvGcYoxO3xvNLguocN4Ops3
3ItPpZOOZ3w35GGLKnkxG127k9tROSSebeVxkI/dParXz326mcFhha6hS/0gtWZX5TEOaxVw6Km5
sfvKTIoqdBmdta3UU+ohj7EXwzgyCzEGHMaz2bxct54HFc+1sDFZF210mmqZrxfXXT52A9xsw2nX
4jNrI0xcZBOdGsy+y6qNi6E1+4jrUrotW9e0TjlIVRMmb41q7ONeec/svE/sWrqSbkadv9PhRxCN
eEKhGjtidGa4JepSuh1IzzjjUknXUr0dm7Rr+6v5WWQmSKM35PE7jeqNnovSi2i0ane8WatkuG/X
MjfrgxS6mk75TdIEvYiA2O/UbN+iAnhmg/klBPnN8UbX0kl/d4BTpVnsbJaY7+28xjAOleTm4GRE
+QBXgl1grjPX3tknu7Yc+wnbLnCcnY9Tq4psfJs6J3X/rgMPr54kFHlgloHXVXir1TtwN6brdWmY
0ttc2KE6ZyOGeCejWNRleE2eYyXnZMFpHTKfDWorFBZBnu8Is7uHrsMbplLtc9Kps2qz7lyHcjl1
kTTLNOvcL45s+N6KWp2dK/dr8Xo6tWVgpK8WrvYp7oJZAsJn8FnBbq5G2R/ayjXT+AlX+xrLTNEN
rxp1dgunO4rSKQ5kJL6ZvVXtOI39U2jbIpmwGshqjJItGrgwBjLbYF0t1lO0pra0xHRuUdYc2nJI
X1WBmD4ZPbuuwZNL1wksRiessKl6yHJPz/nmmU2MzvzKh8VpKcROZxiVmLrWa/nNx5vW7BikC/B2
HA/6SWHS2jR+dYRcDRFGJmbUE+bg8RZbRZPAJckbz3mwDhcvmeCLW6VhjV2nfQnM6vaqnMazWOoM
xdX0gfbq9Zk99olPm67BU0sPMivYxvMWOPuhtMvhGJSGZ5WrY8LD44RXKt/CBmk87zW4FuxnftpD
ZtZLKHQJHn6JdZ9UAhNiumdO0ZJlR/Zjw+K9rv3aaYNI8pmDVdC538ZavK8zDHvM4kiL0qwmpdzi
InPO7QG3c5ycz0mCjO7Poz9xTdTVX5VT9m7ZCnxjksqb32QYSdaXzXer4SKHjq/gn3/miYWjK8Ew
h0qkU/BHeG5onWbXS4/NivWt2eha4qrLkmCafEZP0yY/hcjAjlG7/cNscC1cy4LtAD3jcO5WTPvy
ui9OY52Yffh0JVjUSXuqPW84z6XCejALXczrot3sy6crwbZa4Dk+LMN5yvYKb6by4+4UnuEr1cIV
5xy5t+R6zl2YBce6WosjklQz2b/QhWBNsAVTECbd2aqtAfNI7IZEt5mRm1AbPd5qEimrwSn87pxP
fXbcvbo6hmDyzc5ithaxytlIOQ9peCmKZv+w2936qbCb57j1vw8llJPas4tlcRRi5bM3OPSjXA8c
nes8lyN8anTtrisdh3T1FkUXaZE6n63vbdV8MAkkN9KitHRcJ8E/I7jA+Uqqw7yjTpwyTObNhtfi
1Kla0eK/Hl28rm4Q4Barn73wnaoJjWLV1RVg3Rhivtp20SUanUMRuXeVbXYSc3XxFyCuHrc1hq4l
n7+rHqIxEyS6uvILM4g8yYI+uuxX9FG5OPIos3Ax2nldXfmFN2SG+3orT1C4bvDre2P7ZjRBVyd9
2R6iIlHX8uQjfyga64Vs8rdmS0ULUA+MUDaIRp7weK+dWHYVfdfZUquPRuPriq+mc/qiUhjSytZZ
QajLUd5dW/We4wleI+Y/b7qurufC26yT4ZL4l7qzxpspmef6Fd5jV1f3ug+S27TGB+zltCfPX67x
JnriR7XwDTY3aeair7i2rkuDz3yVV26HHyhRV12yZMU1Dutl7GoOjej5tq/Fhiv7bVt1flZfuFgX
eGviHTxvt1myWcnfQizI7hobSWuJ2/22L8uBQ07Xvyh9J+xezmOyOP7tasmgx8tyr1IrP9giygVm
6FPQcRBqfV7dwYsw0vy7G7IaO1FZBnl9K/YS3PNp40IfpKetn5fhWG6iWN+DkFtmXIlLLH7AfG85
lqQHJ1KWLw/RBhq+vHG60gd9j1s3X+cDfQWV4gHHoG0+dm7NRaYIivBn3dX886B6OZ985L7ioJih
8jjPi5vj9KtWXJdKW4zN3y1J20Ad1sGxneXghX6afW1yWUbf61Rh9EMj597ieg/tq9i+XEV6N91e
457XAI3CqnTJR6c8BTROJuedko17ttxkHfHJZKVFx9lfNq8+ufPu2fdOOPv42WJnX9MX1rfbDS4B
zTHwu9l/WdgqD092LhbsKQO/5xQW1uEprAHgHtY+9fsG/WbRZjigRtz3gyMZEsylebK+GQKcb/2A
vpE5jxMZcGxkL/FrdcfbanF6HkJOdofIwU/7pOrG/aufav+0YNYbfFf5volLN7Re+WofMEj8lOF0
F7wSUyJwY0+yUKWnaqdHRV4ibGEhIux+oKqXdGiEvK8uzzseLrX3KFUXG6oxp7HabvfyZvPFunzr
wzpv02M7kwy+xRMwjD44awCM8Fg1EiexNLSuGMgKT9fFootlR7QFQSdQszpvvMu2vXU9EmnurV82
YXYofWyB/TJrjq2/LvVANmWzRqzVW4z+7m01Yuw6sEe98ttUFR/W1U0bnD1V62KfLLxxPbZpJl0o
sdlWnbjXZOHXcBJNex+tOxe/zLPVOvwfzr5tuW4cy/JXOvK5WQ2CBAh0dHXEkDx33WVLtl8YtiTz
ToIASBD8+lknu2Z60jNZNVGR+SJL58YDgHuvvS6pUxZgfioFSygqKGsReJohBS5qHsNWaL6HwUq7
XgbqQqDaxMJbbcOY2S4ltFvEG27B5OQwWSPd/IMi5c/v9ZLE6jlhfSjyqjCs+YHeR3TYNH08Lsh3
ZaO5a2dS8k+gZ039vvEJZEIIwRzZeWMBbW/CyrXbez104xznsQ7G+G7Cpq12g6o8Pak+bKbXKugF
oTje2pKzNOljqe6ItW34I0aWpfBpUcq+PDi3LOyMaOF4/NI47lkGz3sCNXrpIkTkTiPj3VthXdki
unBqxQ8W8Um9Ql2+VRmmS7h3Qecx+luw+ozAg8cgfhsbvWynnirvP7UbCcNMVdhJb02MZX4sW7rd
WYlIdoK41eZe6DnhOyJqVT1NbbVuDw4CDxpgEg3fAJFfnYj5yTg7DD9bTG6qS8OnyB/GsemKw4Sb
k77Mk0woAuejmH4VnMbyPXRtcQcJeXDGGGl7g7SlT5FuWuYlDIKCfK034c7IkFi2I8yDoi+drGOZ
qw5Kx8fEV91wF5ZFHZ7cWM9+F0xVsx6l14QfEr625JXwoi2eqkmWSNr1NoAnYkOkgYim52Y5L5th
+taQzZJTpLjqPiO4oxjvZyaTak+qdkxyuzYLzk7HhK724E+H+naSC3/r4AkwZAUgQ3dfrUTjKKnG
1e0QBm51mRNMq5ZL28DgeF+Us4K8JkiW8lMljIxPvVKKp7YINP9RVcjizMrBtLZBhnVYEAQdxYix
Rj6uQTqyoyTIrRlomA7d5tTXyEq8g5yRMoSd4Yp3UQel0WmzBmbYDVdLnhSGdlt7NzkI03ZMafeN
Eu844tXKAb6ciILgtyiXyo8CWzjJkCVM+4wjCHh89VPEGAyO+h6WZ2nUbhvyWi1Usp888ul0gWBO
m6w47zflxjFtLG7TDlmo7WLe2hBZ0k9LtckLcjg07gotLGvkU4enun6bys56h8RFjDt3g6M9SyEA
Hdihk6Fsd8tSRp1Py9CK7eJWUwK6WJFlJY+k8CgUIWerqpNB1FqQbrqug2fOWk3zKuZzkBuyhDJH
lvPWvGiyRc1xsZuTh7kfgyKfHC38TYTEnAcSmqZ+BnxEfZvWXWflHtbxpT3LFm3MnQcuJvZxW+Om
Z4uCTSB7x9V6g2j6ps3GTYc2i5VOAogXtEFIMCR0mwmfLGl7KDKG2NqHeiUJPY6YGzd3I+zu6ild
fIwUHZiLpxOy5cNTGElj75mZguE7rVfR3fAuMlhoQ9V31XvUiQ3LoYdvm9mNpaiXPT7Z2uxY38bm
M2+Xqjibsm6iE5S0vLudNUXK1w5nUsdzhDNFxccGv2QYm5uqYUcz1mUJgjNkWFgoAmZK5wrB6uqo
mj4CcZiCSEx2RiH6MF2sH+jzEEhxXvpOvgjaAvCFTTorPsVh1QU/QbV/vpJej7BSoX5vvU6eQf9c
f45mIi4PA9wAs6UZ2p8K4pqXHjIMduQ4nsN0kVPrj6EbXlsdNznskOsndDXwSNpIgEDCTm99ksmV
Yun3BIENd4taF4Qvo1h7aCnGhvvSBjR3TZ1TuHo+8mRY3G23UR/ndd0Y9tzLSQR7RCarrFpHmiJN
gmAZ9K7LyMw28003FG2ZaGCkkln0greNhe7zoYrhppiD5lRcHP7hdiu7Mq9ROwFboG205k2s/ZdW
69JmPaRt/gaWgNH3Sus1jRt+W/UtOS3GBNEBOlsVnSYwsI4yEfHzFvYwg6kkdv0nEmIvppIGC9ZD
h6Rjivs+kU095Dh1zHS3BbPYLUIO2UyKG9UE/Wd49i73yYwjPmddH+X1NL5tpJpS3xf1N2SrNDex
83A7dwYjkWPLtY9Rcdh19DnRLLKvU1hCPopCa2OwL7RwHIRXX4t1kI4uiD9RZMXQvHYqHN7EEuG8
D6Ddu6jGgLLegDRcXmRk1+Un+DW2TiWmrFtOArqwi0jstr4nQ+/25WJBXU4rGPTfi8lyZKCvQaUe
qw6H4bdo7ItUm0BFVda3foajSlHG3Zi2OlHleaOh1Tk4R3Y+OMP7W9ejGPw52OQhslsf5kMTlj0u
VQVJfSeDqXigShXrHsTIYXgCZ802zzBP4DcVqYvl0E/e+7sE7g0q1ysG86cYVjlL2s/U0TRap6n6
Mg+6JN/qKlrum4hOD0rrrUodLNjNgiHEtvK3Mayn8NkikDH4EmEUFrzGHCcpbJusRQYyPgBnPktq
vdCsVEigPVf1prNpmhPg3XyeiyzZ2LIXdm6aA5qTTd06cGIeJG62iU4X14NqVbI7Kvsh8wkSE3UB
Wh7O7zkNmrkA/biaM6q3ZLdyWZ98X2eFG772iC9Lk7V2JwceXTMOr2Dj+cxHY5zRKm45zE0c4hI0
4qRx+4KgCwHjBCZts8/LLlao7I1C7uAiw5t6sIHPK12RI3Pg3/oCQ9F44HYXQvebdZ2e0jpiMI7Q
fPiMqvcbb9n9HNo9jkNs0RgZ02nV0xX1J/9S1vJ2iWQ2TiF2RniN9G67Zci2psH0KCDxc9i76YSM
sVanYdNFhzZWMpshcX0wpBPnoEkGnZFyvEOfYZcD7RLGF3xnpJ/uVDVVkK+HsILdK9l0423UK4cY
5RUOCxfJyyhvxsmuexbW8XIfDkTD0BmDe/kpFoOr9kuH6KWHiVbRF2EQG5SbuAC2JOrA8js/qCLZ
E904eo+BZjQ8Gcu3exZ3XXhQ3TgGa2qu8MUQ48SF4gIcSHFYQoXeZBtKeSlwZKo1E3FcPngwq4IM
ief98mQ2N0FwD101dRlsMos2S2RYq/vWAMPExSu7aRd56La7PSSQ4U4U0TDkmhRUZWFddeFtPKtr
UjA31+JagLpblZkUC6N5P08knPEk0IwPvU12jehgzZVuPaSxnxQUlNFLafh4o4cZZX1WlU2QhQ2s
B7F0xbqkieM4JOgMb41jyZ1CUZmsBL1gaTHJhU+AdshYiuLAnmq8GfI4j9iYGWV8yltfzcOhXXE/
+cqIdsueIv88RAaOhrleGNeRyH3SVW8SOeWpicJtP4t5/TIMRUXR8rCiMXcz2Ho48TRK+voc1cph
9l/4e+Gvwbub3qKLEaIlO4HkpBXlG0rdXG8wJnpx3RKUp5YPzH5Canu4PA16DjPM5ib6zXeFWzK2
1kGu2uqzXOc5XVTw4VuouEZMelK9NtWxsgrGLjF0/Sj2omzbrFRpgoZ8Au23fbaa0CNtqTus4yx3
rk+iSwt16WuHgipbffOjhJH1fQhI66EKKS8RU2CfmVvO44g7w1m40r+HqglfpoGJ6kjrCvKCrTGb
vJ0Cqh+Ig/8w7O/ZLZxDZ6TIe7iozGQ7oGyZXkpATvphCRQI5nZNsjkA5aII2IsQg0n9KG4xhoTH
ADJ3I50aUl5wxC0nrwX9jNO93LW04W3a96sF9wZhJ5S5ICsdEiDyFlsH12d2ODOK+ljPSbnDwkBg
GC/9eePiXYjSPsY0js+ctFhwUaezmvDHjun+c7h1673gqnksiTIgUs1d207pSmrpTFqif/N7j/BF
f+QLLV94iJR223gh82aYeNZv87buB92wswchN/7sApE8l52LEDRA7ZAEx6JPFtelBfaKgPGDr8h7
bQtvPzPGuU+Xul8FyMnh4nxeXx0uTp1fNxgBCR16hazoaTJYZWsdjU1e8iUMzksYw18AQmlHzroK
C3lngtXY/QLnCvKy8Y7yTPp4sZc5Vqz8hl6snxCaQQN6VLWq45tmXTrEF5fDgqM1VFq8RHOnyP0U
zZHawXjEDzDZMLw6jcEiu68BdiZC2JivWZ0T01Q2nVmN5kraOakz3aHqdmkRBVHUpZ75uX5bBYum
m2Udl+0HYtYcCvzKCoa7d4eNzFTaQALX7OALVdCDFl3dPK4h0KzdOMRRv7cJDr4cPXqZnKYroXQ3
JT2N7iETa9gFjPAozEO5MnkKIQRcf9a4i/b3s7FCkczLcqnOZjIR4SkscgTqv+2adv8IsCehwHVA
Qt4uxnQGJ1E1JKihVI+t/9wCfnFfW9bKU4ykd0A+vUu+hiZqg289KAMAftaRIUMUY5Uqw+pA5Z8W
89IiAUbPa770pRavHC4V9kW4iogvxkySNjlLpgDFSjGwYHnmbmvWMg0oTSJUOYXuM1lEHb0zm1j9
zxgGFt27rqHP3IkGQZxPvqtWCQsNNuoHpJazdt0NC/yKD7IO6PjAsT9xBpNIXwsExCMlgL+rAUL9
YxORyh2jtmpJn8ebXvWYdpzzEsEGIzpqtC/NlHkUqSisUfdY99hYlIjuINuy1S+dCcZlPzaBlSdj
5MzwjW3S6Xyi3bp8ayWDuo5XrTTfrGunZa9K0geZbOfwUk9lwbMJ1A5745smLvGVJDXkrQZzo0yr
ZUKHNXEYJL3MG5JHIPmfipuxpNPBFat4miLqrUkt2zZ177uuSzXSblPIHMs5QmKeaMa9dwLlS4mA
4Pm0RQaQQyXnJDXWoX5O7WydeUxCl1Q/F4T1iN3WElLl3MHOa0xLg9SUY4HG8aaG2RxWXRT20blo
kDh8UaUfXyWOT51H1sZhl5IaJJ4X021NgJbLk+CwbljXh4SyMDlb3G+a785F9QFNbSi/jijvkypj
siT1E+LVKpRBTdjzek6xyFiUCZzTHvhEACnollRhfScaR7ZMY8N/bkPW77qi5gO2WjGfRwJM7hYI
XMQexLDy9uwWLX8AW/yC1BdLOUKCOEQNI1KP6NNAy+IbHFrQZZQ9jsm60e2ttURC9QDLHHfqElFl
avOI0IFQiRzrREfd7WQj093qYjaXWamx+Y7Ic/sRTK0x+ToH+BrjNXlp52tL0bZieOrW2L1wVDQ2
L7cJjSeYenZNO5f0e8jvJU8b5UoUJxi+L4hvFCsmEDgJDRBL29w56KaQKSqu2CWsDPRL67YkpQya
ihOGQ9LcRJOYgocoAS0VNLdkKJfTwsvSdvhSZk8MPAqKpt6tJBLNtWzg9WM51ZLvQuixpp8rOp8l
Cypgsd/gPoJ8Z82EiXcD+j6KpVnTZ12juT74oTEpbXCAqnSZNXIZSzpXb4L1hr5Ebq6WzPcmROue
xN2yps0iuuBrXYfFD3Etho5ihW/CZ8/Vh207G58IUI6wzKY+buejRMqNyCTX/cfIsGVTgRCaDEE3
JN51Mha/w9lttOEieLGDY2sRoy8XJNqvNHHJF1UGEor6WhbAugPZw+vLKJhu5KiAendmfBzfum6F
kSGwuKoZXuA9KBsU3ZWLjo2N/TvAoHK76I4WH33VbZIh0d4v9KavXDx9DgrC2UeIEBj2DrCkAtbX
lOxGjrrF2UEqn9EynNyDlkWioFTCtDQueUke6oBzzGdQ1JALc7DI3ctFc5qvdiPRbuEL+pCun9dn
uHyH8avScnkMgti8iiIJP4PNZLfDWEDWdgxGQD1r16/LjscCFtVbs6hXXPP2MoQtiJq8QaQ8XHvi
8TRWUk4ZU+jZUhUU7Rdoz9d0YpAjKhU7ftGrCh4S7tZbLrdK7McCZiK7jvn1MCEo5RCqjpxipIzj
zBsi81KhgfH3qhyhh18WOFilbEK3+uxmmBZ/gyUOkAbjXVx9wbADTkN88bgO1DUNjgUZhdGIGgTN
ENBQ+7laOSrSCOAYiquaNCyA4TFiJXINYQfbMVECCXQzHZG8k+itPlBF1AsCBZr2iYoRtgYrMkWe
aryRNKqvpXmGY9tbl2qgvdE9CsEkziKFt/N5HAs37pupaKqMxolyP67s7dM4dH1/WZNk6/AabWCe
0Cq77j4qE3dBZVlHeyFUMB5BCk7cI4Yrww7HxDDsNWONyWm1dCEIoIg63o2O4BCB48sZ3wUAtkKx
UQE7cqDhL97bJxNUzZINbA67cxAs/XaAod72HjAEgaUdwk4v5Tau2D6FwOVoHdm1Mp7RYVp3jsYQ
JWxVDxevKvYEPv4EzQscS4HcwXokipPiS7BBILEX0Hz5z0BO1wU3IkPCdyt0SROkOrUbsC7TzWo4
DZi51d+qbTJ9hm8KFg6irdAG4MTslj6rpkLBkR92XPIWpn8CSI3jaj6tYzyJQ4JUe4T9FgsXdRow
GHnunYyumzBolrJE5z6hb8Ph0+bNZqQ7WciMZErH1XbYxpjgfsy4dxYnpS0p8wUe8QTc4p7G4csY
o0LLFyd1lSXxwqFes9y3LzWH8VJOgGfUXzqgc3HaD3NVfSbrhtOjDAIennkS9izrJe1oPgLfXbJx
WADWphX3a5k3kMuS+1hNWjwi4qZeUg9fc7WbfcHQCtMtRgUjVWjfAo2ckJRBvCQfkc60JIfKK5e8
cXwo92pQoPIbZsIuyeIuaelDVzoCG3CFNqOqTd8/eVhStHvaGNL7lME+YgEkXw1bmcadhWEMFvWK
onD0STEhKl6a4rYaSb2dwpisw61UmDykXEUOCQCq0h+ERXV1R7diANOuIO1wRBRDQB+gBE449pSO
NoeJ5uDVHomkTu/B3VR9hjkhm38MrjcBIj83K05BB2zwC+n66zfE0VLloZaqQVOPRq+/m4GItxkU
Q9bMKdyFQnohnDK0s8wGw7EGc2j54aiXJi84L+zB4bx2uWZKtbsuisSUU2Qs2TaddO+rPTqMDq1y
DENB0Im7a+Ad8v/GvKlquZ4LSxKRQflUSpbDW4RgQ9VFD4YGhvtjeebLGm2oWayKj36IR/BPJtR2
KSYLYZtCAr01+YRl0O3jdQ6nj6RmbRegdwhjGyHBGbY8P1Xbd1Aotpj5WtxMe9SJcRZ0Wh44VdSv
pzYUkXiZNbKJbhwAhlXhg9dxE6MGWaPxniV1t74G+DQySCugIOO8v/qzo/FdxLbEd/O1Z78Uwdiu
KL7AAN/Sxhdlee/70KBZ0XPEscHjFgBskmF6yJxNienl8FZ79PNgq/qkJx/aLsGEYiBhaJhGC7Xu
gvylUZ+NHGdxz3B4lCgVRbO9txXma9+axo3tPi7jIQBANKloQLo41/VjjHIfexm8kpjtFUqj6aNS
MXMitaGE/7hL4ll8CgE21wg0wkTL/pAwKG5fVDCPwcNYYoT5uMhmMvDg8KKjWbJMcOqGEFTp7lT1
mORikcQq2usEjQ/fIRl0ni7QtJbMZRumomMP30Gd1ElOGLfi4hRmozeorgW/QVkUm+eha1p9TsrI
jadg7sr+W0QIcCt+rdn289gHc9ol1AU3I4Hf2mMwm7nGGYdMr0yiMh52fu6FvquNhXSrZyRZPm0d
SLqZIAZjyzrqBpgm6TKwb4IbVXyKAJpmdEBiR7Ns52BDID1KVjh1dienysijnkJoexYmq52Pfhxk
dNSYG7lD1/KNvISVZexct5htZ4r0oLTsoJAnGqDHgNEVBlpmZcF+0pTOWcT7Jkix5265MleMdmAw
fNmTEGKBaV8HISaYfMDQ0qcdQgNF6qdVsVxXCYuPdp3ldlTxGpABJoXUzTJtoxLpf0AlwuaGhdqY
F2aQE/CRlPHc36CwrZN9x6pZPjuHYWPelcC9obcFxfKhHoaOX4qyG9pnJ3BhLp6K1pzJjJAoIHjQ
XBxa4zf20MxJX57XRsv2Mxo9wKuA0lEtT4DaRI8ZTAzXwZpkMzazCjK42XCvcky2EyH3LQiuV1Pu
5Cs8OYkJMylh6drvegw3zXxCAaZxYW3SKP2A+/SAKQroZRgOo3aT/jnCZYdcULKq3T5jHgjEd8FO
3sttS27QRPPgQoMC0HrKCfwY6XUwLeiBNJyrQ9skE7vZuhFeAiH1o/3q6lkC025nmOHsbalWX6Wh
w3ACU3sKGiGZjFhg+6h7861fYkEfRhiJGLq/mheHwDRWtgiAC5tcmkz2zrW57/U1I9Eafsd0EQ+n
GNp0d5wGNUd5uXg13FAD56V0LVoSnuJNsegmMGEY7DFvt3XeiVKi4VSTUaiNor6Ovq9JM8eXYiub
9QmTlthihFQVenuPBhaVP1Q7ku5EIsh2T6R2frqFA4a2nzrYq6OqGVi83oRxYPxPP7FG3dTL3Ce7
bWYCoKBEIZJieD1jTlgbA+LqZOPbmfTGZdYjBPek8RaafN4obTPoPDj4H3F8pYovYi/B0r/rFqRc
fyauLc2ttls4nBNEOG7X7zkpoNuR1i9ZbZK4+QE0MQAky0SgDGBzdDKZGbDO+x1q6ha3Rhyh1wbf
aeXuZaCXKPNBEGpsEzFpSH8Uu147qYBfoYbQTN6bZOkCWGfUSf0+X++M78kMABq+CKw8TaP0IQYq
KKeeI62pnVFrY6Sl07mLYU7iImSeJZgRkDyiLABTLCqn4o5WiXV7nJ+w9Vy6oV4+bLOq9Wbckp69
6nXmMbqWqZnPHiD9+iqSXi33VzvS6Gj6uUh7+DZNKcrQcs2HCEMr3Gwxi38Q3svkbCqIZu4w7uvh
3YCieAOmNbWAqxgyWGNmv89zMIkUGjnqgPOrFkienqonMH5ClEIL8sWfGpB0cUNEXAxsSOUiCvmS
KCIhmhgIRrOAfgs9jTatIV2N01GAEhNloHHo+QMIUgmcGEgNsd8BU2x1kHKLurVJGY5Xu6VlN0K4
lCJvAQ3nfoXSGTlXwxrz6ivMAjCtSWeHPKbp0C+W1U3mJljhowAlfGVhrqMKrKT8X422cJoOmDhg
3hrZjIDcBmBT2KnI4PkdfY7w6OCyuKpUJ1n9jjCj714xjRhggXo/UqN3gAm2GXqBoAhO/1rMK1m9
ibsjPOfXNSe8Ged08xW7x9h1mHNewMfgnyPj/WqSxX089ONguh2RX5r4E1/2/xyd7RedH+uiZUXR
3e2i+kkArajZP6cGo786Y40wHpVFnSR73B8J0CO5kFuDY9r8Azn6n3iv0V8jFIGBUQtyJWYiAbbf
VI21vfQuGGHnaUA0A0K9NEi4SOREH1YDzBadVROQDIMSfE9///L9GXGO/pGwW66AvetAJ/sRwbxd
XkOfdQse7JShUMMQHQNw8Q9MM/6MF/gLrVlPBksNItA9vC2m5Nn6sZhzVaLAhRGCuRrtwsmkQzm6
+uEfXOE/4Qv/arTVgOqI2whley4QL2PhoLSbADL/gw/0J8/+q9GWQjilSSrJQILqf7Q6fHFCFf9A
+fBnz/0L0xn1+dSrsmB7TJ7RKWh/qucu+ief/BeypA1DO4wzZ3uAzztwkDHxCAE5/v0F9Wfv/Bem
c7FirMhkzfclCQxu5kuRhhVu+//cs/+y22mrIhDdcF3o1sNm2koEpm7j899/8j9Zob+6bHGN2ala
GyyXKpH03QBMchnhniIiS9BepWqGsOAIvR5T/1TSJDD1P26/SpQugf0Q2yPZl73GkzZ3TQhc9e9/
oN91Vf8PLu6vfltJ4yPgQWW874WsAD3LwTtMVfDfhw8tf4lRcuNfhjgc+KFWzadmqz+FWGnsWJh6
rtCklNUOQaPv6xJViqY2QS32X+/u397Wfy8/xof/eh/mP/8DP7+NCl1+WdlffvzPT2OP///j+pj/
/Td/fMR/Hj7Gu+/9h/n1j/7wGDzv3143/26//+GHHQpy6x/nD+2fPszc2d+fH+/w+pf/v7/8l4/f
n+WTVx9//e37ew/mCLodXb/Z3/72q9P7X3+j4dXR4t/+zxf422+vn+Cvv/0PY773//cDPr4b+9ff
JP8LCaE9BoQac57IqxuY+7j+Rsi/JEziuTlSfmL6+28GhPdWeMXkL5InLJQJx4PRP2PbmXH+/Vfx
X0LoAaTg6GNZlIThb//rjf3hu/nv7+pfhrl/GEFMMH/9jf8uRvvvtSRiSYjEK4Xy2szitX7ZgmOF
QqfC1PtYVBvoaQQ0lHA3h0XUwBV9hrBXjFv3IEDsr9CORGLIltLbJC1sg/q0ssliMJgmic630Yb7
QZCNgRPH5vEIN/eiPow+Do5C6mVHwzC+LlQM8IIhqc8xA0E2LZHRlMVyqU98wNCLDeYhrgf6COoA
vyupx+yTBsPNSsHoMGWx3s40fhaxMhmuoD8QFep8HKm9hYX8HkUzyEcwX2Q8Oid9nyVqnnPokja4
Mi2IOrU40yF6GPeJb7cciDndRSjawMCQt0UZhHdLYMoD2KDfhrCu0eZ1Im/QoGcbMXI/suhdScoy
Bw7f0Lfi0KoaoIBhWzqvhT81arSPm5Tu3NakepcTX7IOQdnnIbTfYW8vjiQhet/MCrdJkBNvRc0/
iiUJ7+y0vm9Aj/ao4TqwpII7PiXp2Gw/5FSdAnA1bF+8rlN0gVPBTZw0ufXzuY9DJJ+ToQJ8EbzF
o3D7Yo3eu+6aAzKChQK8e+78mFEXfSpltYBh3mw71sIcoy/BSpzC5rWrYE9tk+QLb8hNo0M0bQns
YsFir+d12slyAmt7DpZLeJ2t0ik89/3oD76OD2vAa3QL9qHVChyPbTX9Li57eoQd9Q8Prknea04e
t4jTez8jobADTPINkw6gemA6lW+04CBKNiueYY6CwxC6+E3rOTh08yTu+75MLtHK/U8tLaY6YEhM
KbrM7dIqjNJ01d6TUNU/Y+1GUO4xxA7LAFQTg+kJqzv7rpBrAFvp4Amlw7mFUXAWliHEA1ugo3ta
uOLoO/EA9qrMHd+eRDU+Aug6BDjHH7YejCG2dDUwI2QTp6Qt6INcximvmX/rYOC1F0H3rY/m5dYk
/BTQbiPpgnTApyTB+DJRU3NZCeakExd7GIG73XCF42Dn6S+2Te4xD2NPtjQmvEkSTGLRAwzhlA+Q
0UQZpjn9vIef3VwDbUPo+i6RHTJFmgUfNu8UbFLThs/SZXzGlGQXb0VPDm0N/kIWBA190kKAztQg
G3LJAVMNbd4BhAHysEwE0wuCPmdnEuFLeLtUNc+ScCySvAANBNrGBjyKFIlBFWQBpV7KmyCue3uc
ge7arKKtAVjTYnbwGrQNCKbYzwI0txa5fF0KOpzI6CKG5Q6Qm/VH5C5ofymmqnN7sbIOXJlBa/EM
G182nlrWBSNQxnqTeN0GBRgxwDyzkgYNkuWL4neY43+yd2a7jSPrmn2VfgEmOEaQl01qtiRbttNp
5w3hIc15JoPD05+l2rX3qcw6+1QX0Gh0A31TqEJWWhZFMSK+Yf3Yo2vM9qoIIoU5vY3RTUyOh80o
1r2pJzFDrjW3+6hMFRdBZTDVaEWOu4r9EorWdx1y2bdy5Bvj9Wl41+Kdz6s0JLHmo2zH1S40x1zn
TKcRLRPpdPVlqpwZpuRzuFgYG36r7PXAr/E1S3W+IXgCPlNZye6nZfHQpVH/Ywwb2klJPI6Ie2li
ZHeiSot0swx26a6LXnXROc5KPn0bD2Ibqcns12aYtcQthbtYqznS6nRbDLE09qJp+/y9aUmwbDxJ
Vj0wCzfsfFsZy2vpkYVopiG+98pFZ0yF4AWHOlv1RqF4ozWZ0z307dbxGyxE5P6DIAPwPRMJzq5n
968jW0bbx+xvTgNnhdKnd5rui0ksr65DziXucPlF95j28jHup2e3TKdVVzbzi+uMzYbGS36xUorZ
QxKxOSzL/sGWssLT6twXfPWWIfK9vXw39OVjFENIPGson3CqIDmUK61LiRe25EYEP7flgK0bDp2W
aVTFsW/Bxm49LeSKMgiPuHXEKcrPXa25ndvcWGvxFA7biDYDLgXJuHFtos+NNzy1nxSlBY54RK8f
0kLm1j25bRVucildfOVO3HRmSTpixjeZ7p08QSbM7QbdQM+z+CGXRvyhiRwBfUwKSppuayePIHJ7
9T2qlr49LPQ8lk2skk4Q9EUQSwjpZuP0NsVp6PqCexkPKBIePma9bIywS/HUOnXX93Nya2tlFChr
mk6uNVyYZ8UwlFikFxdBboPdX37VFl0eSQ1PL2ih9aWG1grTjJLkI6S5+TKT4MjvlFdVbyXpc2be
LOM+VIXU/BFKy6sg43/ROq/1pdl7t1NfkKTrjdR9i0x3+JYnGWietnQSQfd3IFkX9pb76eZLc6zn
YfwMYzUOQeJVMn/stAapT2okrExLxPFakgzIPxNXtFGQarF+zpQS91VliG+cc9MtargpN+jjIj8a
ZTPxVKDFoZVe+1hFTQ2tnZD7D1O61aeS2vg8NuZQrxo79lbCKYiLGGmPHZtMS3PLsdk6RWRCilNO
A+1RS62mOJb15BLaNSpbQGPTVLr29Nh9llVEPSjtvGmb1mFlHoSR2R8VCtlFZKb7qONSHpklkRg3
zJ2VXynkOt+X4RrGmHmq+rKYo2ehNP1iTgYjAPM5n070qNTKNaXYhXhza1LBxk0cmf1e2Tj9fmRH
5coZRioHEo8h27htWzTBos22iXG+dF+JZmjnsGwL4DNR1wy+iPKlPRVacpVloqIkScYA4xmz9bcE
8zLTd8v76oCwBnNysazOubSpyp+LLuKmq6LIUutCqdBamfi86cErsa32bjj04R45TGt3uq2z/jWR
K8oLcUdtvmWiXGxeNPzc2Z+qtFcbjbikS7pQIjzXMW99NY55ROpNy0bLT1wjGxkW4jkRYVdNzIEq
R3UxzDCJDnZN6+uIGb2gSSJfucTNq3uvmlBjyarMw33YJE79FOIiToUDZDTHGaMoqq/LjK88tQQv
oGenTpk03C3hce8xnApxQRwfo6AIee6LqUl2mr1YO89xp1UNdXLHelbcwpoodq7sCJHacUx/TlX5
SiMaeOxCm5EjJeOMbhJyVE1Q5009ckOolnQYPTN/mkHYDpZ+xltPwAmH9zpfePIvSbjuhc4U37xW
z66BB1OkSfQ17Zo+yHBBmGNZi+jRdqI4oiHA6rBo1bRfZrepj21VuWAmbaKjOzFx5iM92xO3wSO3
+zvTzPVbt5PMk9Zi66s99hMTDxNtDGl5ZTyWC7JdzCxK02KvkWH9OsNv42NGNY3W3jwMD5OVjvXe
mN3sEJtL9MEyx8MybEdnIg0dW9GO2YPh2uD88VobhXcz23p+t9jVXSONacuRz/DJ2JJmKhfnWLW1
i5/h3DSLY61Ls3+MRJIZflIS49ec5ZUFI32IpJl/1EOttk3WGA1uqJbtyZuHFFnoRn7Qi2ELVjk0
P3N93OF1s0DVUywBtidtaqz1DiZqY0md8BFJ8XY7UlAJT07ce0weHAkkj9O03FLOIPuNbPSOvfPe
N1pmBb2RFIShdfzSzWDlHkS7vGDezh8OZ7+fgf545vlZyvjziecXScOaQHBVFeK1XeUN9j8jrw4l
Kvnj338Z12Y0CI4Oo8KdX4q/aqEZTr5g3ENeGa/VgAhK+dzYf4V2uWpHPx/grp+vgdamcyLkPPez
5mB4mtm7HjDcBTLQa3pd4UW/cCKIMB7jYNKy5EeuUDp8uy9M9y8upvmz0ni9moYhLRjmnis53f76
NhOqdFrdWv3ebpN6E183AqZbiI193RyoscsvbmM1m6yy55dsriYCHtOz0r3Hhd2F/ds2A9k+v248
StpJDOu9myT9SGHh5x10TOffApwMqdXGJL/tSAxmfiWX0K/TuGrp4/4FwOLPb4iTsC45suMlmuJX
8O1i2bGkiljvFxwfONJZEhHUqhLSJINQHmt8lLvWX4iOf35RSxc6CX+XnamQv86AakP6HYpoIy8a
LUdLWuyl+xcA6Ixcn5vX//7OvB7pf75jeDFD93iD/CTbNn++YyLPMsnKFP1+xNxYO635MWXaptCn
/i/e1Z+/aRa3pYNVBm6RhPn1z/8A7TOJscGMS0rUzsLsb22jDlk4S8MZ/kIRNv6L64d3wSmSbaJJ
HeIXgTXKyBs4i5PviU+Km3hgS4EdEkdH1A9rWGGemUwPxwajExmP3W02DpZ95xpOwEIUf9AFY/dX
G4omWzuEy4759OwP29/2iv/9xf/TNTEMk1vLQ9jhsjjWr78pGci+rdxkn8WxLve1O/R3UzVxWPrb
r8P4F8dxvKuS9KcZP6KhIBVFQ7ynOyCHVStNcDVRyDyh317nf7fcd0reaTxXn/2vet9PEuH/Q6Kg
9LDmTR62/14X3FZ8Mf+hMF5lxH/9jX8Ig9L+gubn8Pikx/mTMCitL8Kh2isNk6lkfIW4R34XBg3n
C5VD4XmG5ClliStN8ndh0LC/uDhiBpA22+BJDKnh7wiDPz0jpH39xQgm8XxnFJHB0vLLV1cyLsXJ
x3HNugVeYYyXTZj2MGCMuPIZ6jP9BWD252fSP1+PF3Qcmy/Hn2YmRFaXCTYU68XmobvY0adaqAIj
If0VT8z8jSv5n8+/317LcXU0f54YfAV/BURhlZiWFcccGw39OhXTceqAs5yxT02zPmVhpE4Dtdht
jke3iprW+xA5w7u7csr2BYHCwme3YhzoCdfaNR5hZ37mRe03OyfiyAZaOGdi78bhOgQCEWxxwqAz
ZEhCeYKB7Rc0QSQWfPVDgxbvCzczHsnhsDO3JA26m95uibteKwBBlyzhqk+l/YOobLXu3JH8o0sA
8XNAp/3B/o0EQclqUYX5coexKEj5N3O0bdSQBuhd6pKKBbSu7ulq15BQIs8Re/wqdO7CbxD/lsQ3
44YodBLlMvJJbEqb8rMmt/VicSQj+8VsT2SmiDYXRa7Kt6RqP8nmED3qxF5G3A8Gk9zWmiyP5Swe
OVxm9SpLrfCwRNpyk0A6uGPs43GKkTvsUFdBlNTPWkF1hkr/JbWZVlQ68jhPWOeJR2miqduGYXNa
e6S5DjxtGFQQokb4ueHloMqZ5OkndBPWhjZlB23unhNvoAM82URMmqTyhdRc+nry3JdpSrqAHlec
QUw0pn7taN5aheW8zSLzYrQ4TqZ2D7RjRbS+8+ndxFuXfdYqL7w9WqcKMKl4+bZNfd2IPss08Xxn
SPmXeEbrGqtdRzM6UDk74Cru9JWweXFTFPpKufplHIjCDNV1nHcZvUYmIy+Yvrai+vQ2Ig74RofC
TABtywbjAheRGhVXNLOuK5gdP3B2jwIGyH+Q4DoaGRUVMAEB7X+EbxoKbL/qwOysS2hlQCAK4yMV
xYYgdRMUQ7+19PRTN0W2zsL22eE/VOiewT18Zl5yLProENWZEWSKOIaKm4eoFYCSsflmdROH2ba3
tCOzk5J1zWErcCfXXPwmbJromFr2qKO0h91t0zvnRKueAbbUNNnIflhjfqN70w9BmX+VTXAlMiAC
9Mdc+mj0v+hNjx5hEoZrLS6BlcRrUrRd92zOcXS2wukNksS3KTIFCLeRKIyVJYEINdCqEfUOCUCX
IaV+pXVhYErAKxmHk0lEN1GYMRK1NZ8z3eMNoMcAiec4PyZvoWNfwT49lRRLBmSMfbsm3lrovDQT
ajXa8r1akVYbAz7YC8diLwircfa1PO/8sOCLCr1ueezBcvhhJx9HnXdayuKowJr4tl6/oU5W6/+/
uP6vOG6GwPOCw8rq9u+X18cf+StfmfKnRfYPf/Mfy6xrfLFMnntM6ODnmfqVYvwP/03KLybPf4Jp
LJqGI0zWpH8us94Xz2BN9hzbAXmkX+Mt/1xmWYEtNlV0JVzXInsp/s4yy0/800LrgOU0XWlwgmLR
xx784x45yYDBccyPNp3e3wsjTXZFz9yQKnKGjacV44/UnemhsyXYEemkhDrl3UbFwtqJpbBIQKdU
TZSw0fRzY3QunRj7jUHOec82k4Z5nk1nGUbiZLkU3Ij/VZveDZ2PllkhG1aiVPIj6/4NJUTvYPbY
hs43NRHPwjHip74uu1NTtVW7Gsw+oZU+6O6NnBaXEQsIGihbjpfv0lRvfAYgt8FATVj5Tjm+h5S7
13Ppkosf1bMwC9qlVc0ThMuRcDRkodlRmEs2DcDMLChau90zozD9WhYgZQJKj1CbqX6hZWq2q5VB
6UXFbTbZdgUZxajLVax5zmkIXcZ0Tbp0vpatrl483V1Quojk7uk8h496n0y5b+pZNvtJI+LzjGBc
4W3wwPD72Epu+zxXT1dNlMck0UwsG/JclCTPBoLMLiGC/F7pRfFds4ipIRR13W2fsfyuxjKnq4NY
/BTqo3XsLUt7jLGPnrWqzGgfs1LurzSoiwqjct1aUfThzuwRgogkGL94DqMo43cf4hK3wW13Fan2
o878a+y8KS/feIA6+y7W8WKYIGDyS7qepHwXM29XT41bs/DCkhPMPK+YqR3lvgthN4gcQdNDuFXp
z0a7t6ldr1Q3HirZ6WtzwFaBhhPfDwSFmGMRKQMY01IeC81JQxy/ZXwl0ZMexlmOJ26oIQ3Zo9Ta
VhDyXLNLkNTfvRUxrWpFSFOtvKUVO6kVyRNiYL9aAFDfGFqV32uaLILCnZpbiW+yrTANA60frdvY
o5+cE6/dwUTTb/hEw73J7NoNuUj9e7MsyyG2o/CuItJ+mlNu1LYa5VufldNGp/+7zyoz3jFn+LFp
xoCmAzMu0yG+y7IJTdVr66+1VYWbaHDt18QY5htIXwAI2M9shMjZwbTdN12vX4o4mX3SyvQYGvXU
eWqIALT3pY3X5iQPxTTuKD3f1aYRDLFzEPUGHXb0mdY+4lUQWG6Getg5ZV/XgU4CVPo1pJFHvgfy
1NG/u/cyR8DYh4xzyGMtfO6k7j5CX6iyVUWXx91eS3rwpibiqdRH8/nBbPRmRyfcOetcvs6fKG36
jCtP2HlabDeLSthPzC+zz07hWjujbXIJ26IKqayNyaeu8nrTjkXZ+/MUdm/0FKLrl5JKvyyJP6Y9
NSE/EjRQfe6TGZRHEl/shvkpEuYBkffFje7qiSLsau6j5H5y3ZllfY6LNVKXeqmTtD4niT0eZr10
zmQ6aXOOllr4SXmzytVg3HtmI3fuAnndp8KjHl0gJV9J1Y47elLzm5cnxePcm1W7M0Vqv3F/J5+x
UBYVZMcg2lnOZvxqhLmd43G5uPacYOVtajck1vXCJF4AiuUqKaWE6qKmL/3CCeNtze72Nmbj+agK
MzqE16F0WdFZx1ZrTH7JohR3MZIo8DLRoFO2fWRvB32IbsnbGxfVRmKbjkl/7OMauBO3MJ9qaJlP
XdX1xzzrrHVoLM2OtEZyA4zBPTP2EQMwJ4ld+CRJ9RsR1sbOa8boxjFUejTcLGM35TjMJWw1w3jU
HDEC7sUlWvP9lWeZ9cWFcpF+b5sTM79qQ1jxoV5G+TXKC90KBgI47+NSLYFe6F0g9ZoObQtqRwzu
IW1m7Fa6qaiY3qTa9bVCsSXl1HTrLHFjIqd5vBu98qynba/Rv3Qo91tTSnO1N3aTaxQXkfaMreeL
u+4YObVt+Qch76V86BR5/r5LOpAK3q1CFD9lU+G+0+ZPwHKE2cYwsRVxKdVNRP59R+JWf8uWJjsp
5UyMF6PcEheOvIFOcE1eROLIABFc6CEdAp5F5U05z7QFKkyUNVGNN3bC1To3cDEsgBrftLgh6Dd8
S8Hubfnqx3sjE2tAbhwA0kx92FXyIyUGvhadNgc0SJJAVUD7cqs5JJrdbJ3BsfekOG5NoH4rhxla
F4PcyW5eonIfaeFBj1pHEEOY9HWfa/Mz8XMmb4VG1F7MEGFrFeHHrlvbXC1l/ghtZ9oURNo3QOmf
c1oF+7zujRVx/jcSImN+MDnSW37tDdlqjGz6Wvq1s9+Htro3lJ2eJsAEGzer+zMNhxvpOt+Hqd4R
pK3xLkiEd1M3BJD4jLNbmYTSrz2nKuaM5ovWiyFreVf4pRzSG+YIu1g4tGpjf3LC/JoB4V9BQxTb
xkoPbRZy/guduZlXS6zr9spwmYrlM92z3qk2fy3mvDiIXAwvVl5zPArjOTmlMwSRMjYaPSgtrblv
yBFvlwY0it/aNNikmoabIo6yYmMWkLsoPFhMZdSsHxwlVLJmiedMZtd9zGZGi/KgHoeETmzdsQ4k
ZkePbIbF0TH/IhXvJbbzrRT9eJtkceczr9uFOsgiRr8Jjp5lnnBXbnlbABkiZ04frU6HOBF6FK4D
IxynpzAkYcPt/rI4gqJ1j8fgDpusa9JXHojNPY23xK96pyDbPcHIKy1YLXrKsS/FaHnRokZfRzKf
DqnVekSfcEEDHRY4R892PEk3c946Mwu/R7zwFbY1rV3PEtAhNLlprbr9WkkF2UlQyetkd6BzO9zV
aRg9ZU5Rb+FiOp+gGPPnUdk1pI8FIoGbl0Wyy/uo3VGBgk2galwZ3rzSacvZ5R1rwLgFDaHOruMu
B5MN2VOyyOwwQV44NKYbraym0fd14fQsSJLKhiorplCZibuPW66VA3DonWSFvgNHAR3HWcINnhjS
ZmE42yx26F9k1IdpWRFPX0ns/KC22pXZkXbQMafcqcSsdBliMIztDw567OcqbsVsEmtTJwjDg3hV
9CMtfwEFypwvmtVYADxGe5/V8KuSIqxeGX5XBx1AiMDpGAqzdkt9U/eczc3F7P2UdMoFZcI4RmEz
whalv1eO4IUTIA2bOi/rlQrbwMFBOkdquDHN+dMwOvhPimVqChx2+x9D3hF7cYCTmWy1zh4ew6aM
xuamJ5O81RYiO93IquK1hnqEfdB/ne0hD6aExsFoTGcSyvjkHo1zHRN+FSpgbd0YWZyWNZInNoxc
Rq9PcWBZ0wt/SR0TUEJvrbtM6zDV040dR+VRp4HwjevtUnsTQ5lRw6BJVMcZPDlCszvYm/EBwpG8
1Iq1PBxq/YZ2aHZrOjI/z+ESXtAI3WOhl9lRxVpm+nGdOXd8Q73JrykvHjmHFJcyMp0fC73VwO7D
8taaTOPsDKY4DG3u/PDi0DsRB7pKAjHQtrZpbhxdUO5OCaa/aEbRn3hs5vtmycYVdIT3aFDeTpZp
vorsdDgjnLsvVFf6dclkSMw+Fnr2RcSWTvXcXHlUiZXsq4K4EpNk65mnB3iraJlK9JWK4nl7jUA5
cr4PUzzZFcPfDlUiwxV4tPJgTdn8NIIQuJ2K+LkSMrzTwzp7GXW32VmyTjjEW1urZQ8+R2mzkYkw
1kVL53SOjercypSVrg6jdc2+aV3qPJwH6HhoPpnzTecow2V2mdw48MBj/1g9x7QEv3tlnh0w9LmB
284+uvQg8amja0mqI9Z6iWBYopMIBmrUy/QezljCImHdC12TV547tekk6/gkZXRTyear6FX0zdVC
dpmF0Ff4QS/4UQAEsm3h9Vi1Rf46KbRCVtRJ9+F40bh1BiQMYgK6juHOMav33Xp8hww7PGZ0dQ5p
i8ygUqX2lmMYBzkN+ZoQmb6aCkDHI/gdT6cQVDd5upf5x4h59hG5UNNSGiwuW1g86jFv32ctnm9y
mAWEhJKc8ixgim1Y4Fu5Fae+chm5fPZo31I6mbdLnLV341AyuUVU9ZvODXMeMkMhgtL/TswUSRCK
+xYkprbr5dyfALNgJ0bJ/BCGScd+Ic1fM8NbeCt1vi7KJX7nMGbuFbBwslWaDcKub6jeL+N9phYc
vKa0jJeSwuP3QnrDpkn0eudMswdd0MvhWi1TwaGnd427FnsqCFW36tyMzJfyPAIW8DevNepKLJzk
VEL2gM/LkV72PJfTyJ01im2llQSgw+FkaQA9CS7KyjGBi9HxVYn76bHhV713nEqPn0+WbVLlsvIS
BnWSgz2Ag9PXhSx+wIPcQZN4dAfgFSBzEiqAFmJvXs67zpXRZrbbZq+sqt9nvMuXRq/U66KMdu0h
9D5pjukdSZ+F7xp7JkA1WLOBopC15eOx116h5Ik4Q30UvV28wJ4f2Bs5zp6ATbMlBwmjy5snjTS/
meg7b3Gw/UvEzmPDlBCqwdjkW9OKHT8e8dfY6sPDCOkvveveDFoYDuvsA3SS3z2hCelruks1lS3S
Vcjzzv245M8Nyf7tfCUZ0QufXgU0RdaOrDTu8uGKprDL5UIpXB0yZ5mIFHUIcc4I4sIDTboOM7ns
F5SKe6/w2ldGlCUIb2P9DCkBRXnprP215rYW2dieXAJ6g9/0tVgPvaETXmmqS+/0QmPHouhmL5F6
1EoxEmlnfs4JMKhYjwN8Nj+jZ/mSd1azlZ35mWSldyD7EUb+DFngzo0MPRhzK3niwdEHrd4N8YpO
1XAipGUe2tA0AZHOxfPgZOxcF5kzvmUQ4IHy6hy2yjnnYOxIg3bLvKpiat6+XZjdXSb7+pbNNdkV
xmfPOzCIPGoaFtH7qMIP8JMYq7EWBflfY2kf0po9LM2FrNgVmA4rj1PMEY4FUI687L4KnfgaMAcZ
zF0WPdmpC9K4ZU4Uw15Vuh9LYfpONy6Hgu3ZoWmW8Vktlnr02IVeAFSxmiyp9QR5Ijl4yoChJQfW
onBczniehF6zWo+OQCKNU9mR94qJ//tOmjt7ndIwoI5mMaugSoXzqmwog76XWfprQUiKnOK1oWdn
SqK1pF6H8NDbzKaiZTncUPA11lblctptQm3ZzDKrT6zj9QsBvPpJURhliJXNwcClRTC7ZnVrubb7
VchMHtyWkIoxKGc1amZxZswSW6y072BeyTRRz4bsxQpJOr4N7QkuU2dceSxMjX9ZjJAAYqfrfl+7
+Q2TYtl1JimSrTbQcJEgKO4oMkV8tO5rPaKAxCm5AUSrjT5zBud9GIHZCKK44K5Cl6drNmpZF5RX
7cEo+JSM3qOJBzr6q5XrzaHKukGty6UXb5rN+WKCCBKtvEwQbpZaUxASwbrWgwS2Ne+a7a0mpock
TPNTYl/TkuZUguWwrd/HcP8fM1f/LyxTILXqhrhOLf/3yu7/bIfy9T1+zf/HXfv68aOL/2ij/ucP
+L1gIb/YBs9T/aoYG9Cq/yXwesYX8jA2misRFQPT5l/6rul9sXFd+b9NU/dseZ2R9ru+a4ovwvYs
xyXRgoEumJP6N2xU+7exqn8wG6l98EB0qHigQmP4U9f4Sd8dSpHStZmGfYIMcHLyqn+ttcjbgKcD
QKi7+2pRDPPJ+9A7AmFlg8zs4ukgek4nQV5Pvb1uvaYqV7a19M9todiV0ZlmJnCr33NaXqVZAZDP
tIPaBLkQLpnkiO2F/piPHZXh0VDoEEWP85HZ4cpppmbTLGHLwjvZ71anvSzKm0mBsDdrJpEe5mLR
YMGjvklBMJ1WbQCifnjgoc22WekNIlo8wvHUHZjWNQ39TZw0joKaDhluSdQx7gcvyNhLbMAVyJ1n
qfvc6aJnq+IYvK7I0j0C/Si/NdSuV+ZQFneqtNDltLEbnujlWheZLBFofxZjeiPVyV4im9myNNNh
LC6pTyDX2pJjRz3oHOspGe0jy/e29EzjISndxVyr7moAthEQYTt0/LIv+0PtTridAyCOO9NT3RMm
e/k1zadh8QGRhJR3q/pAxNJZgcxPzp1rXFsRYfjSliUjMwdvgoZtmmrPOh8TLizjlYO8kZb1qQMa
vi5dp6G5cWWeAoG3OTBdr4oen0Fm1He9WbZPEajvfQ6sdtuIJnpq5IA/HIEWYo7AzdR5c7qKzbYo
fR7w3q5PimOUlejx2NWbUHnxW9Izy9TiyLe3TWjhU2ZmbPHCaENnwmLdKe4jBl6vcnoalqHHl76r
382JueGQ8OpHKzfsM/WvZLcQll8RVYX1UMEkp0iwSZpFO9MfYKYC0Lzma880ogCWOBi0sQeg69Yq
3oh/UVpn2fQvyjSSRy3uzKcmLcpdqIPahYrfkP+fxvSydD3sycK2bkjshAEBcQAMoq7Xv2Fd4ZAh
9utdBpsh9jiqu15oHxJLt9lN9iI8ghUG3tYnOX5urHt+6qXWEXj+A/2aGjipzQCGfM6K344Yisut
8K6B9NVQ37WmA83tFvpnnADuXxOJ9fqVbWv2fRmHdr71wiJ6buzcHLZMqp/fLaH1nN4ZdduxCx1A
wKJe+FZrq9cYLsWekFPR+UUtkhdbE90OfIHL+MBK1y/TKJj+XZhif61i+hb9bIEsV5qCD2EMQfiZ
87MxRteM6mKy/zd1SsFYQmg01tJmAuBKyqBIdBLrZBYGsvuEaW8Vudw2i50sZyth2sQD8xksAylm
bqIN/HvL+wZFuMFiiFmnc48JqQFgVZh2SEjo735O0ijZN13nkEO9Xpds3UCu8zZpLmP3sYtngq9g
hIAF8qE8YyMzS3tW14sV7ymjlQGTD8Y1P8a+wV9D+czcYr41pokUe8EYXOM2km6kfE0iIqYj0XIj
JB1qD2SnEJo/U/Qngr+ZGYydGUJ4xMeHLM/cqcYwN7DfCBdzAD578joBw0ocf17sfkMoFcsrcibo
6hGEw5UFaO9BeROUEQ0Rm4qld9DygapRGj50qYtpnKtvZm2ReRAlOyH0eLJRH0ZR7EuFrTRF5VbL
9WLrdJ4ZTHj4a56m5SlCSAOSI+37AnF9D00rC7C2uXQNlKbCLgzf46EwiOYYR5odwHfEsw7dEy5Z
d4JEAt1WFc0xj9m7mrodf1DLybcumt43erPlWVkZIX0Fq4QdFWayFw8+PePoNnNRLi2I8PeytTng
lkzYsNlqrxfCiSDwYz1EAp4esr6GXd1n0Z54Pu67lO2hFvHVNGfqq5w4lNDzequM1HpoKiOjihEp
eG9mCKwit9d2yRxKrEd44qEXJEY/nBp6QBDuYrZ56ewMj3lc3yFDbRXGF76Gw7y3Fu7mbRjnXeAs
MzxkdJjVlXnGWWqrmjaIZnVv61dQodQeyrL+MQzJHfN+et9hXByLWd9jo3fytu/5ljENY1jF/Inf
TFn5bFMiIvBsPdpwQay5oKpVhB85w7GNofTutGUB5UN9hsd8fVMzlwNBmskT5M2rK5bxU5bgRotY
DxqIrWertgrA8xmLFsqtv+SwOmhat1swl1eqWS83DA3qjmmsSWRWeHIF6KhglBKpeHaWZ1LvBtOz
woXwPaox6Yjx5MaZqTMpEUynUz2IPsS/ca60dT2H2Yu9s3btyV5n1lReyJAD+pKMvOBAsJwR1xhj
MReTswOYyt5caQr0QkpMKUDgQ1bIGxxSYMXzU5L2YLOscDxzvq05LMls7cWOQxy6/awbRA59cJvD
JEJrExtkJnoYwQHZ8eLO4aAHcrgzD1NuZW9VDbhMd1ICDtFI3sa+YsEgVbk77gSehL2md+uwGeRn
rSWsKCGq292MS3powmXZm9KJznXff29KZpQ5bMFuwlRbnqaxOTnM0EXxoYfBYJMmrQe/LK9Ijqn5
9oc93n+Ry8aPZy/0014JgsY1J0oHEoScZ/2SF60qOB5prMf7/2DuTJYjZ7Ir/Sr1ApDBMWMbMzgE
5ySZGxiDmcQ8z3h6fR5ZrU4GKbL/WrVMC1mVkggADvfr18/5jqMRPLzyxUCkCz3D6arJM/1hKCiG
OKqI6K/r1ZxRIPT5fV4p05rwRvGrCyo3vpiKQYh1Astzp2iWz+oph8+yYDkHlaEONrB723cqjkKj
TAUJKULPBIREAwFKX0026TxANdST28lWcyizrIHA20sSNi7nuUuuQ4fV0KhKzFhqrHPg2mptc1B0
jaahGVqPgIBoNuQkAC1sG4zZQq3465zPWcOl6yeNNwz2tIUpmp8jkBo3aZgSbAL3gpLMds+Q2gww
q6lKICsBZnP99ocbKyUdbk5u687lwK3oQQu3VMXyTCfe2CMLX+sUHBeAzFlagzvjurOIUskWvRj6
dIvUkL3M6KACq1UYmBe2ETkUV5yBq12v/EbbPZ01jWZ4KTtcwKD4SG6ThNS6kQb6VQYN8LrRw+Cu
GqY1wrBkQ9MHIEs+o7vqY1FcZS6eD1yicLZay3zMgdevenBmyxYvxiZs4S8H6tSuS0AnGz1w7kIT
L3Fj/oRvek4L5QX38LYL0fwR2GLsy/jQ9/Wtq9AZLUQolqYyo42itXgbqgl6roIHN0foBDop4aH3
TKcVIvaLqExtnaWIczq7P4O5dgv9KdqHfoZlBEnndR+FO5ui0GNdSpZqa6U/arvkAJVSsvJmu6MS
ncqmXwNsUOBn1/lTPI30iLXygA7SXNY1ARXm7OZsI6PiqrIrqs7AfLUh792SglS/QfHs9k1LzbtR
nLBR4K+aPkadTkCmzXskUL9S2stPqWFhBXIS2zW2Lqy8fTmXvcasbprjozuPAnhNppYvExKu59Yn
BPHO9BWNc/3SJrbYwpn7LPQg3DslbPkozK3DAPqGfkDf6aSP6sqhD5MmWmZWj65JtCa2OhiLdmj3
dDBj6w7JQvsKD5gSDKr+nUZQJj6vIJm3ZgrlIa0689IewxqTYOeigovy4CcHz8GtarTGJVoGSopq
oFDohgDh2xitLUvhWJ6sH5qQuvWCfyrh5CgYA7EbCJs/iwbIU7xNEapoKZTkdsirYVgCidQjzmSx
TS+TNCMt1aBiIfyV0VNteJQx3YO5MNhm6GZzxplisOfUyeVxgmleHNMAEsPxb/Kynp9Ym4zfXWF1
O2q3VmOOBfWvlxU00wQrER8CkRzlRADT2eiAiqXbJPIflhknZFkkBqPF6m6D2HWfCJ0X91FmSCyZ
H9zOSkLNpKt1fjd3VXJ/hP47VcTaNhupemY5A9K5yjBBCmL9ufiD82cDZ64dkhHWYU3P9sj0Vzjk
xMvTG+0djXT7afKHN8PneJMTvpjptU7zl9BwhvVgEqOJemX8WesTtkp/7KpwAdk+e2nUsL+DMGo8
+SOZW7xSUrNhDUMQBG1EFBD58PrPOakAOOmx8ky+SnwLSNZ9gUA+3gtjzC9iNMbJYszpOAO4FObO
iBERrDESEXZyjA6I9Nl67Swj3pVK14LeH2fI6GaXQIgXpKUMS2Nsp5+qUyv7QS0znf5rzNm/lvvJ
OSjqChy/PazUWet/qRkYUj66xnn8EzcACF7Rz4tEC6AxaWrwpHXD5LOvHAnnLpW6JvyH1eJZuuvu
zMFJPIhrOpyqKkAIi9jo35kEsI8BZA2925wx6zXdSp36MUUXW0l+5DhoP1u7nJIdFOHwMMWF5ku3
WX9ZAgdfVJqf1eyPbVDdDlU6nvIkOAeOjqMFgqT9CwSGuAAD2JEFo9XJFvfI/KOtQzLpRCuanRmM
ykPemOF1C5PuUIyivfuTdCBypZIm1TFd1rDCh2VWEOENa51BsqyD3OL8rhRepAuXqAxa2IiS2iDj
WF/GIrSmi+QQGvTVFI/M9raKXoP4BJJlWkzF8aKh34h5rVHN/QylhQ0HAKVL5Dzd8xzq+iEAbNZs
GPPVb+QcGLmOcQoQjoOnHNw3yLnQDryOHcubBgZ29SdcIWujXKyqyOacS+kxO9ZxUv0QWTwPSyUf
oUXTUYZHSW9t7SYOJ8/IIsdklYSz5ObH7lUMcuuW55PvhxY5AUkM9XNWnWQ1jFGFBodIsmqROQQe
LX0lMjFaDqNXG8qw1Un+GuChmSJe0v5jPMblWFwZRhlddZEW7CpFbxzwV4DFas57mmVqS2KyHico
1cOI1LhVXrfuD5g4xGWZhf0gFDEd2AnRWgZ3bhgcSUxYHMmGqdkYj5NYRi3ZGlM9PGmqetcrbXWP
hbaK1t2YE3cFs7C47pMx3PWzZr5wgmnzX01pu48CbfQqOuRk92rNU1fpzdsYqE62UobCuSvUMbub
jTj4MQ0pSxEd19DL6gza8wwg+xxXTJ5sKKWVy6CAMLHpSiX3/qRPRHr4UANyPZtyHQtyEqVqvCVE
kFYvPvZhn7thfXUMp0iRct8SogF61TYaz7Z659kW6nhXU2+NKzEqvsdmi94pZM7Uy6lY6w2C8Ww1
d4zOJceshX1ViXTiA6KRtyRQDMRGNegvPVw4D9hmsVdFMqJFsNETGLWUObDfogQLm7oJFm6ljNfH
DIwoNYdXWw/aX0GJumLRxU5Wr6KulzUv88QLG2I8mf83HaPPFQ3lnjnY1EXxRJhDDCqAR4wD2gWx
ym5cendWWZ9QQFd82ODYaZSvFNupvHjuWmyaaSxWhj8Svqemeh5sA4X2L9yR6tJRjHGbVijkO5mp
wUEiZ7CZklmMYbBGiG8iddKBITAfVS3O6esyqSkDyEEoou1YGRMFhl3MOCopizDwawWQMuI3ajV1
Z47n2uD1f4nfyGqnPm/itOJIcPCn6QxsLEkcjg2jdw1mevpZutRtUN2zh7Fyq99mMjieysHpo2km
4Q837zvOrTR12A6qIrwCbcgWFhwe/5zjwVnJu7dEDBN7at2IY4Kj83RcSjzjasKBTq/RVLasSRU9
bYh/PZmMq0yzaRQEE8RJIBvmq2EHEGsttzTvZ1ek+EOlUMy1zuyoNzYw8bGMNu5814+TuodHQaCp
Qqal6zcjSdVjXNw2luu/FnOpAW2rq7sUkEm54ri4g0XaKuw4W5huMz3STTOG6aPhKv2enuR4X5R2
7rH5lGp4pVCvIntwVi7xMpdNqppnPR/8/dTKRqiSTruAJJ/lFI35W+HY+ZWp1eY9w55SODbOBGJa
bxR++xS0vXHOGcd8buPZ34Wm3nldgNIyIxdxq3EM0djmHUV5fTPYY3WOz8W4CDu9IBMqsp5VglMO
QHCCJbsomGCRUa/8WSQXZZdH1w1pMKQlE0bTgChZDBqdisbXgjcHUrY/KunOMEvOr2Vgjw2i45gt
MulmfdGW7bPb43iAdE/yQejW67BAFeVYLvXp7Dy6TFiXeViCHmmiVwEYRPY7krVecxrV6oAJTK07
O0aQWMDpz30nhoWWhxGY3zH9GetDfjkbNCKP8SOsDg3xaka7a+Fvr5TWiTfcT8MBu4FrxN26xbdh
0WwzPuzjAMmjKrIMYQiBZu19zxudQQtro7A9DSIAhaes06LcVZZV1w8YHFp720XtNvM50OqGMOPI
0cxe0hG44diiaUB45ciElXR8cEOdW0uPFaE4VofusVJEo0LVGPXJ9GrKPjE7G+cqPtaWoi2gGY1M
gq1MxNjqxxKUFob1Es00E4ncAOPsaw+oijqvpEsMCJz2WzKDmFRit+DAVNa5/bHkJWEBz76sgy1Z
EZPSMG/9cGzDNTKQ7C4uJhqTYqCKlvW0IytrrEXRqkahs8X+TGNMtuFI9KQax2ROYT7KGj2W1To0
FX2vyQp+UqaSU+SQsp4GAiV+6WL5vrPMJnk2tbR8Me1Z7WDDtPr4CAeGhwSgxNy3M3uS7WBYgcU/
qcqn2i+t/JdCTCfVJjjht1bviooVDXFj37SH0NWHGSmK4TZXpOII6zpRE1tfp3M23PZTwQ7YcuJW
rKeeCS40+h/DqJm0GuGmBZsshkG/4OQ5q14sc7YJ7GwU87FqtfTaRYx8OVt6+uQg6aazI3ua2dCL
g52P6Aw09s2PdJCUDaJW/U7rB+W1RraChQqqiq3qpGmEVRA9tZFuLJjjjUtXjeirOL36iEiSLwX/
+01VWDG9a5xr64n0mnMjJAxNnwqCXXs9uBoQqy+Bs7RAeLLpXBlH/RI4MvUAfraNPqZPml6oNy0K
UcJYaFTLvi/d6em1PDaD+7FliVCQ4YTrgbnltjx2joNjF9k2NZUOiuwta0Zl/7Idy7keyVa8nYNZ
PKpjH/9OTQRdnJqYZwFeJi8PVHUXzD2d7x4gAmlutjdkmFyWX3dP3vtKbUc1TQefHqpBDAvQvE6+
uTCErG+G0+AJEkoBP4kp3umR4Z5/fZkTu8Kfyxi4IlwcGthK5X//l6XXLapSdLFKrEcbJWfW3Ffe
2NQrN56/MZZ/eiEbj4XDqQ2HeycXCqI0zibUw17YdCVaj0yh3wJ9uHjMbBPt2de39Z4RKJ8eh1kG
ZlmLWgBT7omJvqIJkgq77rxwdOjMN1d+U6Km7zDrOdRGyTfm3I83x+XIJJFNLqF/eFlYPgGB910H
8ozmWmsUl2GXekUb/Pj6tj4OChvzry1YiqTRxTx5iGQ4anlYEFhDCuPamYgUzabLry/x2a3Ii+CY
B1FNtOz7AZGlTYcaa+g8nS1ru6rk2SYU+VFdZpX6+vW13ru8/7wlR2iCq+lw+fUTr4xGw5LAEtBG
bC0jRICm0m2IxE0ug7hD84yD5Du66Ye7s/muVJjWJqZUjTPk93c3T/4kzKq2vLxCHNrYyaNrE33S
2obyzXj/8KrklbD8Yg2XA+IU4+BWPQlURFh7iHh3HOlsYkbG14/v00tg/dcsV84U1slR9JSDuyPg
10In2mLNsYjkjhvnGyPvpxfBwqtTAhiki598SYnfIBWCou+ZAv08sTfGWZDo7eqf3wrn/a6rATLA
n3wyEkiGMjj3tk2vbTWxLVyBs1QeMf4HVzEJF3CYE2zdOLkK/GuhlBW6LBjV8PrU4HWSJ5pfX+Sz
IebgT6NMYvlgZn0/xPB6kBtjC9MLI3KhihkdM2ca7SX5Rs439/PJpWy8ItwNXlb+92QAkFGdYPrJ
hZcpo+aRTbHlxL9ZmSyB31zpk1FAD4Qx5moO516O/v6mnJLYb4GJxDPgzwA5PB7nRzo+03/88LiO
AfJBY/3DHvL+Or4VjQSLzAJbrH0/S6AVJh99w3Gg+s3C92GFkEwQR7r+bLQhgF1OrhQKHClhNntW
0WTlzTC3toPxOW037aDRliRNVp03ZNh9OzNIIsS7UxF5ZSZWi2MRi3n8ZBQGxow7IStUTxgO4SWV
U5zFk3uHt2AbxTSF4qy6r1SRrb9+tJ/dsKFJwZbBnGbqJ+OSg3Fm8aojvSiXtC09dvcDfbRpN9Cg
uo/rqTPWYa4oj19fVt7N6d2i2WEuRLoDgEU+jb8KjJEq0SF6ePSUCVrtMsloN5kWSoJFxzb9Yjyq
WkoSlhfGbLU6nG2CDL/+CZ/dOaIdy4SWypp2WgxopRnRaLRGKhukpjZBoGej21uPlLrPOGKM11Lq
Z76+5iefJlIhqh2bKo4V4OQlD0Q0lLWfTF41uAGp3VKEk0SC9Joii+++vtaHZdQm0ItXq7Fi2/zP
yVAurKFoymSYYOzUzVkUTpwKgFnNAZYtZw5+v77ap3fG9hXSLahbU6J0/36hTVR2GXu6ySviZjK3
hdmXxSbTw37Tt/E3g+eTaccBmMGHitqK+VTe+V+Dx/Y5kJ2qePTUMLrkJH5ZCv+b6fqTwfHuEvJ2
/7qEpQvfaPB/eiMRrXWqQsSA/t8Xy3/+1P6+k5OnBr5ytPHkkLDgXpL2jUfSuYiibz7xT2YW9DsG
RYfmCIq4k0+ctqXDQl4xS6NDx3ph6UBn6bM0Ul/V98QgjjpfOQ7Q9JsrfzIo3l35ZAjGkYJBk8MO
T3T6Wa/ou6j+5j19MhRQSmD5NqGoMM5P3hNIYoixQ655yYRObWCLu4ppIHyz/nx2FaArqA5RERqG
fvKaUCRWlSVq3WtahUAl1b+Ze9aFr8fCdxc5mRJdPa6MeOp1L7d74+c0O4o3637zTeH2yazgMv0Y
wGN05iBH/oq/BnYw5FOdZxb6fadQliiCaLWNinJedyS+yVH/n9zVX9c7eUGmVdahWnM94IYkkhCm
aodD+M1n9HE1ESpLJvfDVpWG1Mn7UdgRFzVHLV4rxX2kY/vPyVHxh0MrfxgMLb+LDAchSz6O9UM4
GMY326OP706oEtYNK0CDNnC6A6OpMSWVXhqeBK48Y20Y1xHuoumbh/lxVqIMpghSpUUErNDJ91Ti
DAwbThk9K7tWum6jkdH19SD8+MVyBbaRrFEoB/mu3g8PjMxZxnmY4U1BnW60KtsEYB8XkQEe9Osr
fZyV3l/pZCCWpeJ0tZODRjUfObaJpn+rqt8B6v8GAH5+K7bLjpjSlE3r+1sxCPXpOU/CHKpUmA04
bkghd9MU+uf3Qf1CAWFargHc/P1lmplMPtoYptePY7fLy6K9I+AyXjUByv9GqitzqbMkCyz8plb9
ZNDRdpXNKN2myj/tBSU+p/Mt5xjebNYWcZUVJNs80PPXr2/w08tQIVHig4wjQvj9DdptmDUET+se
nbMlWwo0LeU3z/DTS8jpiM03y/rpqIP+W81FHRgeOWWonQ5jjd3lP7iLvy5xMtxilY0woggDAsyA
Pa3vijMzCG6/vsgnY1popsMkxJ5V/TAWDC3Q/ahiHjLdDVlaz7R4/4Pb0CyHNimSdkTwJ9Npjpey
b63a8LB5kd+JshgXobr++jY++XLYy1GaGyqFDrSS929cRV2XoEqyPVJM94F7VSX1Rdl/886/u8jJ
TOM0DVLbmIvU/HVorA8hhk/XQhTx9c18fCcaMjOZyuA4GrCZk+/THhvhBJh8PcjH3TZyA2eZ9cGW
ZNUDuQUb+k/qOnTcf+dj/K+zz8epmsvSTpCzDxWqfvKiGrUj+U5etvdJqFasAtMxsymbA8gSQrtD
EOmsvr7Tj0+UIWHhQXAM2IMf5oMBckfjlpHpwdJwL0fVKh+0oxRcisK/vtTHKoJLuSpCPnpYbP9P
5tYKB3dEVpbp4Z5VV0rUITsEAIV/k0Fp+f8sJoqOoI3jmDVPxuNJr8bJFBQMk1L7bWh6nKmnO5r2
xgqqwTcf78dJiIvQNTOZx1UG/clFOjVEfVR3hod4x9MIFdVxAiFN+GbdO36i77e+dEw4MZOTBPdz
tJL8VYEhDi7HlLMPbyrLPCAmKEr2RpAggp2yZEuIbn+GyG7CPojgf5DSf12aAOIhz2kkpxyomWS8
NNIs0PfkUH39Zj97ClSGFNO0yFlbTsatMSuKE8QoBJFNXjSKdjCduPrmEXz2bfz9Ok/2bz6mR5tD
MD5JH47+wv11vIV/ZKf6fwNRfh5g8/+hncp2WellM+oLN1X+6yV7yf/1kv/61z56LQ4v9b+8BnbW
r+ZvX9X//KV/26r0/6JiputNq5gqApfU/+Fmudp/yY/OwiAF2VgW1//jqxKQKxka8lNks886xyD5
t6/KIuwG3wOUYM6LYc/Sff4HvipxOlLAp7LUqbrgl6m0mU8m76apcLREY70NOUxbxGZ2yEuHU3Ib
Zg7pjyWN1PSttRCIzi7yaNFIJb8illWvLqaokCKQnAjecTCX/hD96AsAd3895E/kzCc5cBz9QXil
jy8BmjwRyJzvF0u992FsJkG9dTjoXpC7qq0BK+kLcnAvkBS9GPq4t1CqNYGGQdxCxfof/QAQ1BqP
CmLRybylJaJ0BjTNW5/YnIU+jz39kFRHFO/DUSm1Zef7Pm219qwLIT7Egt/x9U84XXjkI7CQAnCm
Bt6YJtD7R9AYkVanWUpCc4cVC6jpPRylfVTl3zCbj534v6fOPxeiO6pypMbxycmtWrPftNNUVNu8
6ItdG7TuBg/vU1Fl7gbLM4IRyy+WlYUjrh8Gd2n7an5BE/zGRHd1QV64stYV3X8hNXpY16Om3ur4
15byu9i6uK+RyJF4g5UpWSvEyi6SxLBpSxKlWncc7dplAB+1064rJUwZfzzIqbKeG7/x1LqB7xhV
/lmQ40lTtHLaEhcUXk7+wzwYjNZsvi9gBW+McRj3Y5O8CX3GiNOnh/yYQ1v7+9lxf5NrcqvP9uPX
b+i0CLIYGbIdiCeTECqOCN+/IXvO1ZQVu9yauu+sCet7jkkldYwae7ymRUsQFy7ZQr37zWqiydH/
/o2xl4R7SxlFq45p5P2Fs9K1Ac848dYh7QVxrIQbOHO7A8GK/kMHyhHZM/njtWaeZxMfdN7EWH+c
nBeajto6DYNN54CuMW2+KV1oycr1ab0UKNS3aey3OIA03DqTkmvrr5+Zpn387QAKgZYxqqErqyfD
Wu0Qa092iIlMaDlHnqZ5Hhz5or17mw5dscZAnm5bv8325eh4vS488l/POmLKQUla3p8JyBjJk7qw
bHZoKFnBlGCyX0H7BgmLpX1JVNDr17/747s28PJTx2hMSDhjWTX+7vC0WqSodc/PHkg/WhjI5Bb0
/5I/D7q2ADBUHSRTBR3Ed9/nJw+MUxrX4ihV9kNOXnanZaQKuXW6BelQLnuJKXEj4DRf399phQJA
3dIRCwBs5OaYcN7fX56iPVaqNCVr3s63dl0lIADCw9cXcQz5Z05GLg5hW254JbPxlNhYZDV2NWI5
toWWvvm2X+NPJIoPsLneLDgY5t5wsoKTkSwVMSdnmZm+CY5xbrDxr80cRoEP9GIpjN5dZoS8rsM5
UHd4NkuUuoMGx0CJlhCe7hVLmTaqZe+1caoBLnYOOFVpuBCpu1FQJq+RgmrgPcytOjK/mQJypAR2
rIuI/7cmNMUFTR3CBxCu8nnw740KcNQ0K6MkvTmLahyV3RHxTM6Gu8k7hSQgtzQ2mtb8GFunWWjl
gD+wjQ90fw5mrN9knH6c+WXsLgxAsrVG0BvYBWBXGCKU0SVgylLdTVpEb3XgOwg8mXMrHTguoAwG
nGB850jUl32ZHqyeMWgkwUM1E5bTp+59yOAAEpjwu/WbPII9MoQ9GW1a+yTQHy4HOXtPU9I8liOk
WkMhPRw/orbE3OwgzYyNFwFnZVFrNqgxwK9NMDoSmaRBXUwrMFQ4TmrpxwNJf9sXA8VDNLMQzxYJ
W2n8Rrpls+iD1lllkr8TtC0Y+OS3lbB6Dnp6EQxDv+wdJu6hK+GssYCs4nFuAVgqTzagFuSntbtE
t+asaAj4y85owg1zWb5NzOjAITOwx8qKlkrDCpyi51rgM7ww0/IuFu59haCQz7BuV4nvhFuKH52F
pTcAYvFq8qZG3kvKWFZ2VxQYW9/OD2Avag+RDNxmGyKSOwZgmycmy7qKraWTWpuqSt9I4YGDUvXn
FcC2OUve4BW72xF5OPwfbrQZMrSF+qWvMwLJ7nJWbFb2CWk6Sw5yEWnpwJU1BMArv2ScF3LJnArq
q0RwqalP3qBGM2J5s+SXvB1P/8EQmz/6pI154w4IODpvq9EP3gqXMZGHzNYqJ20rJSxA7KD+DBNW
aoRoB8A56VUHtnVJKo9z12jpZo7Dg6WrxQ7Xag1oz75X25R7pDy9sGL408cXQ2Wwb6y6XcPlQM4s
x+40MGxUUvtQaKbtogyjg+NTM5qBfqM7qbttp/SAfBDNFCNctHwax4Fbz/xuH+KkPRr5WmTWFhbJ
felSyISVmvz5BDJGmBD6DaGSnKP3FJ+IVefLfORldWhRF73C3ysyIB1OyAhC5g9jSuVzKbuCvDGt
Dy+Q9EJ6GXxETg6Dtmijw/GH83OpYrp83sSImLf0lepzDZjQIzRud9O1KvN1OfKp2WF5WbhutY56
3p0NT2c9V7YnLFxLJuGJCzTtKOjH/qIYcJTFiR8jwYOZnDGBKdIpD8GAf8N9MHSTPy84U80bLa2e
ipLvyhrjN9ip8Byr+HCcLjo7eWtH6minZybIY8JNYHI0i1aysEtrwqkmWsDXAw+RzQD10Ew9RZVs
L3pT7FCxxRcp6TmrpGJWYqJK1tZcPpkAUI+rE1oF8F0BT8AUhn8GKPJtUn3/Wos5PKRIWkbWjCC4
ycsNpLEV8+mvPGUy0QmeW+UUXZgiooem4Ts2FP5uz1ybcHS/wlW8re300FJfyemMpG6mvNTaHyel
zmR6CdvmKSZoCrG6tdfADe2q1Lxhv5NvI8Gngj7yQEYf+HJEuYu05+UedxOhLFjgRylruexYhb0/
3uEwJW/ykyAZ6UYuBbal3SADZt6S76DU3H2UKeDncryKyXDBJtuEFS6HDR6fha+Z2boQ9ZMK9PbC
rGF3l0G6rmHCoTxnMB5nOvIwMVVh6i4mkxkV0fya2WS4ahwsdyOaLLICG209KDP/ysErB87SP2vl
28ETEGHzLbDb5+qKiGj+I2hYZ8eZOBplIUbiyWrAJsUXTJnFAdS9DfhhBqWVW/wSZ9w0ku3tNLyA
LurKDQlXaCGSLNoXroq42SxZfhr0QIxh/rxcV/SEHwV2hU/VMuGw++spTKatDsgW6g8PUo4wOMMU
yCVlOjPNpodqvBgKBl3tMvGkJcMqk9RxBKL5VncpKOTbbeL6KcIvurA5YFyyC0JsHfAHK8BPm+P8
m8rZkTxCuPOJQOxJnNquwii2lmtc7XKBIGRUmx0fkD0nF5bFr9YqphsyqJPVsRzuojhdd0OdXCp+
Oj2g3C12dsbXrYcUV+qYHI5jJW+zQ+yEb/k83vtqPLFg1MDWex61XG18l3kxafkEwNMlYIsIhALZ
pBLzhynUaDmwNDX8Ql2ZA0Xr54B3W0f7IeKpcvBJfY6cPq6qcJeWQGVZTqo9s2R1DnSOSJ4Bunpj
ZhbnuOG46sSM4acbnHVRkK0Uc9S7KJphwpsaggusyzk4hODHJDvCiDYYmPpFC55669ohpcYYvRVV
8eTXebsZ2Vm9Km4y3+kkfJ2DriPYpyRzL6+CLfucCMiTEE/QpCO0DFNORaxHq5BcWZxoM4LYtNog
TmSlLQJZGpR94dVmaF+LDvDXME/a0hiwXyZTVXiO3MAloTzJmOu9LkJjYxsjAQxucOiUdFzFttYs
+wRfmDbM2J0GdT6faz4ngJ4HR27zCptwxJCwvhXLe7MxzSHcQdeu9uTLJysJBADlkBIOYGTqsukI
PhjTwKBGqVD2ZKQm5BNPrNfq3/FMwdb2oBtFlac7KHZkONocMLrVU+pm9sLtSujWOmZf8GBQKRy9
2ZaixpUBLp/Lx/yxlj9miI6/jVNrEQnRberOPCNl4meQBsPvBG/ZLqscfzWMfrhkA/Va2jKLY3rt
yBlb4J5k0sLTja2559wZUueS0VATykn8N5I5GPVGgYXd1yKLmEqdBDXiFvQGGFyPdYPi+VoZCAqt
mQDoSG8Ccp7XTsA7DcJLZajPo4L51+iHB6EOZzXS94UTZZCjXOV3aTH47EFL1qTlaeukU17Mllk3
roTutbNxE+A3g/CoAt7VEw6emDLVuGtWdSSUXQWqVCI2+GrlzmdOcPyqM9NS1EVvYizcTQheGsAn
M02Rh9MDMZKVfMMzpC9WINCw/tsQK0TaCif9AarSIPhRfepR7fJcmqccrjZYwKp+DWYcGqzE3Xq2
7HabFBTBBF7O9E6pmFT2cMkiVjQmLjmPG0pyIfMSqoDJQRVmu1Z6DBJdWfOv5I7edCnubJ3P1Ckp
ZHJV3Oijg28wjyAmZIxbULLokQJ3awzDAZo0eLC8v0HPpKx9jMTkIfZMmiwF8nfKcAhB92HbWIJt
Iav1gmzSQyfCA9CBJ5UjomVvqjfNDLC3VQn8HMJmPDsGsEQqkT6lHVxDoia4UfxkA1lt1N7EZqRq
9UOnJM8xa5p0WlTa5J4NqOIW2oC/NR74NQ5VFfHhLdW1nE7nNpsvUeEnq95py81gOveEMxxoO19Q
YIzXMxFmVIH6ZVlT1yjCvYBTb7FvdCLM7wMgBZwQrjase42cGLwA3GtUW3uCmMNrtRblc6Ty7HPK
5LXMsEgNRlgJvGiHX5wo5pFnmqUESoQoOX5A/a7PAyUa7rOK/L22ZrhpsnkVBdNySJJwOTnMa35D
nZMg/9oreO+ldUlO0hkVX98TdGc27czNUmNqOCy3eQTADWvALg3E1le7xhMuGR5K+Max4lNdsw41
8KwDeGBwE1jR25FNmCx3KjlWA4bJ3jcguAbUBGyutXWsT8oasjDhD3LNzKcizRZy1zKPNIhQQiWr
Lqifioylh1DN4Soo+aTIieNlwyPatt3kn010JrGlp+NVYrXJbdWBNcxUIk4DYlJQAFHdsaMn9JEx
WbdFfhH1hJG4xuSsAseFnlpymVRjDI+hPv/MdDv8VUcjKYo2f8BxO3MJyS1YdgqjySVM9wX9HH+l
zt5g9aiHzO/zC3z0h+PoZ78J8SiOztisvtGE4K5S69YZYfu5GgBSlsnGZ+WKS+W3bFSZBjjsLnD7
SxO04wKlA2ugjC/pCq1fNtRQTApBeVO7ALKN1oW8IJR4qcFEmiKmMZqRCbhFjfRaaLZKhzW4L8vz
SZvntQHHGIahQ71q8DoiRbtK6z4jJ4SMHSUcxIo0a3fDaGeJ63hFfW7cHNdeV/KOQsO//3rjL3sU
p9t+JJhSHYNmzlJPOmWd1qllWADeAv+j4HpP34yWm7YbMmVq07iJAsbf15c0P+toWI6lqQgRLdgY
sqPz14kQUFC7xwoJ7Ctnn5vo9IjNtn2qSvqQsZrNG059CcDpGFjtnALi0siMHpLyh1k9OlV5rzqR
YNpgby0rm85WlTVZhfdJH1yr2ohHh+DYnZbW4FkGNV+WQ39tZRLK5bTU3G3wcOydHrdlyAx+RW0W
vlljS5JDa92IZM6B++GM1shQBkY8ZhejAt/R7GUdbLPtakk0YosGAEhpTco9BcL8cd/XIUC67Zxf
seLX5zk2LRzdsvAMZXgP2+yVGTi+lwjxnU1GfNa9cXXOJkjPohFxqiiI0wiPMx/n1m/Yxjr24J81
hClBwaTOgyb7IzrO9RwdkJ/EFw63yf3mtX7Sh5OgaCLxkHrKA4z3bxWFTWVGWtJtY7sxFo02h7um
pjQLrUr6nuIaJGuvkiiETfPrASU+6VzSMUABji4OScqpop3JRHRR4sK8gv+5MFlHVmjxxG3EGfEK
dkj5s1Njfw3IC2KlGV8XfdbfuaW2nfRRPH39Y+RtnnxQ9EfxpXA8oSImOH0Meauy3STJuQGFuU6r
yQE8xf8l0uJ+bOp+AQx5WOVDne6ioM92X1/9k09L2iwQS8Hrl0dZ719Cxh3qLYFA2wrs2CqhobPE
Dt18cwj0yaRBl1kzLcxZnxxTsZpqJqdkyHhFZCw74ECrOh5/Elm1b9z0eWrT6Jsris9uTDdhF0rj
FN39kxur8jqgLMnabRDFzbnf0jCPWqP2+D5p5QzOfcjySf473TMZQpWN6QT6SZREuQAQS/vo15z+
+PpZy2Pb0zfNOSKZcow8msAnU2epkCHlqiUDPol/FqU5/f5T/CYxNV46Vt+4qz4cpHMFNPq2Qdf/
v5k7k+a2lSxt/5WO2uMG5iGiqxckCJIiNVmSZWuDkC0bM5DIxPzr+4GqqsOSb199tfmiF3WjFDJF
EkBmnvOed2CMTmP+9t72pqe5cV2ovZ95q9d+gEOcU++aGPcknaoZ3r77TFrbg9CrY6l7DzLDi3bI
xsveLF46H3ujxcmWj6iAK77+9jIgMEOnwKPOOoPR9PZjWf4k5gSZNV7RAzhNSfHstqz7Xq85Mk0T
6Q8+Y4Bkj1YnRKQabpGWVkC6xGsZcgKYoo7DG8NEYt3UpI9B2MV0S24Q937Hk84htDJcbEqQzjta
yro1qXEQPQsk3n2+07pkh91DvvXwR8fbzQ8RktJtu3qCeVmJ5crqu6KstbfWdXNTxnVFAoaGidAK
Za1ju9dTJl90efzrJ+SVkvb22qyTZGzbLTgjvvt+nhsYw9TRGIp9EtMuzA72Hh6hAmR3VeBiHmnM
M1k9QAcVTkfDoL9+TaDVLakjDQWhB1Qbc+wsuSwuhN6Ta6ozJRrWupmw+gUL/GS5BJIoNojxzU1S
fXhavxL63n8HEutWByuIImjU3t5fsAw2XUmxSVGqcCv0tRBMDTtqT37pTafZpG51xpdO7oxV3KWV
WSQxQvjgdFkX0/tPAdneNU0m97pnv3vKMOmwxOAl7V7M8gLzYFAbnoSsHtwP3sj8fadhdEherceE
FwvV9zsNU5C4NUln38c1qGBOEWLMxRK1Xlf/LBeS8DwPVAoNKl3R1DebupB8mD6YtzFEq3AU6TeT
Fj4bmTd5Ff1eQQv4GlfXrD0jrpvfwLfP2N4AnGJad9Biepe/fvD+7KYxwGMA6rwK8N5Pjms6VxMF
ltgj5TdCs8RfBTM+sa0UVScicvxuxv5l7ZdeY+bw3vk5V/4HO9bvG6QHLYJ5IpqMVTT37p6htVGe
MAyx1+3mhxXMUMJMFwS5JDZwnD96N/P3GgjRBxmhzH3h8kI1evug4sMK8d81BfNLgscK0ZAfxVhy
UWayDQi6B8CloF46hhwkhCbXFYb6zdQUl25FcW/ryTfhG/MldnlYDNF4bwobE08bTz6U9Gq4xITg
AxHJ7+conxizXqpTuLTQSN5+YulMXqUmlpanzdke+UoXQvYqdr1O/wSMStaiXn4wtPyT6pt3Y2Kg
IyRg236/knDF8rFXN5t9nANs4ktr04hP5jnH6OuQVh14alJXdLT9UQFPnSDJ3r5ihuDt2g6bQT3M
aiAEIh9U2BW42fMAGBdAK0bUUloKixYzJf8ztJzui7nQTbxiIrVB42Qyfo46b93NMge8dh2/2Gaf
3RZ0VLgIWenBRn+/TwqVbjPS40viCfHPYKgnDExb0Q1hu+atlXU8BnuML3GVpYubRnCS19lGU9r6
hpnb97UTdrOOt5t0JhTxk4VqnhgLNUbLwmP41yvuT7cN18KCi4sLj9R+Xw34S5ZKm20jmTsyuyrG
mAa9RGQ6drcBWG44A2lys8D8BmwOmu1wo+sRL/+xNzEmwWf+wpvBiF73+socGY3OmQAzVcIJEYR+
fR1t2sII4PxU8qJi3H2V5tyEv/4m60P3dqeFf0h1AZsJSiek23cPZWIzgpWe2tceh3E/jcSieOuS
sFMykWRQbQN/qb7iSuaFBJQUH5yZ9u/778rGczDEpTk0jPcUisCfimDElmivl0zRGlNON0YB3u+X
a+5LGxAUJhySd6y0OOJvpoeFzQmJO4lgU+b/4fbfhr3uVWGy8JhydjFRIk4hdGf7STf6C/Lav2gK
8PV1/gC0YWjgfPGU79I4JVBUrNMAB5A9B5Tc69WK8U0rnLuI7Fa2o/1ZL51Q6MFZDvj7IuNzonnl
vFRJ8JP/rZk7mv6DxN9yX/sQbApcnj6oh/+ksvBhXhOsjgieU9ldr+KvPTSzujoficxrGVK8Dggq
ex0JG0yERMYyRF5JGFqxYEFT6BsywsF9ss8MD8jzWMcw+G5AnJIBKUKjfluu+1vr3ts5ZtJxJ77W
TPTDZGYW4enVvP/rR+z3fc83YZ5CbIU+FfzWI/Ud4UnkxTZ7/C72Rsx8cd0qihk48hWNKuPqg13v
t+LZ45miPqUpw7+Fg339SL9cr9TAW08W4BxA2wKnwY4gkHVy/zqLUa+3t2coNLC/wOSANNKvY8Ch
I7jNaqZ+J1tZ7BzILBuoGh9tHu8PytcPh1eDxXpbWUPr73/5cO6MA6RW1MSSpC0YneQz4MTEFID7
VK5X5a8v/5+83brEYSpZBs3Eb8dOIcghSAhVG531qSXtddYoqGzFs0Pv+BHe8yqL/nVH8djj2FFW
DwpGI3SOb79eitm5u8gs3adp6pwDnJfYC6UXTnYQMWrCImhEk7vDnYYzgzL0kDljfDCINbuyG9t7
HO0quMmH/uBa/bVyMTZs3Q576XFodyNrNATqUKfSF/U+GGccY7o6O9dIe2GrVEw38USOVMYfzwaM
95hd3+IUlx/zvjYi5JttqDVmFeaYNR7oYex0izXWGNqJk29JpRyOUzxGIJLtTiatvSeFz7qAy6Ex
USmu1azbmCJ61t4jcGRjE718dluN3KW8SK5r+uRowSs3LIk2C/uUX6Sm9s0QgKnG2Pa3M4VaVJVx
jn0lnVrcDEQzIyMGEZTA6hlz6rAuKuti5S7DAyuCPHSrto5qYWMzlEtsVSu7xjtWiy1MgVr/gJVq
dsaQGpdV7U509jW+72aogQ6ffFdbwGIW46kfA2vfeYXzwUJ7Jfq/vdkoqWBimbSr0PDIa3/zLGPe
KQOt5JSHQYFP79r34N7Hl1A6k21qKZwq9WvRtvU+FiP+lcts70yx3kAcnUIsboiCyXvqeo98pDAr
0++lmVuRD/UQ09oRN1oeoN2s+XmIZQyD8FrWEUOENSqAq+1bi3aPW659DtY/T5rQdZea9w4iw+2I
L8AucDAr6rGjP5j4RHyA/rw/vKD9saBYwdQxbDT6u0ednRPNeVv4USqXvSRKG4jog9X7fvN8fQtv
1X4Gumv8lvNOF+YABCQ+hIFchM0AFjrIgTZD4BamOqvl2uDZ+9dbxvuigDdl70RECcK+bhvvdqhE
893cTaUX4UjQ7hh+ya1YsNoeEpK2fYuRnmY56thIHUP8rlAfwFq/4ZtYBawFskkBD7gJ4vL2qSKq
qxzyqvGi3hUac/lccbetJSSilzeMnYBY3M7fs9vdAzsUezxoh4e/vgSvDLg3T/b6GcCrcbPwIf2u
BPFfd2mWjfRMqblR7hZaOMytOlS2JWnEdbVs5IDuBetl9YznW3zFhbSvmgnWad2Z/p1GIk2YDp7c
qtHOox4Dni+6MrmULQF1RHNGVZHKTyPpXEdHenydLvXOSKvcsyfG9rOZwErAz9TI9mPQ3VheIjbp
oJUfFF+vthxvviMFLNIh3FEtUGTO5rffcc461245QqOeVXUeLUk0rUiMbTAg03j9EkGfljf6mHhn
lfILBo/xNlj0JSSqMt8ulGChBRaxtcgzOgRJumZV5RrrWldHLFZ/CrgYB21woZD5wxJmiXVbmJW1
EzIbLpYlVQfcDCUMgMXfu5M3MNVWO+ygc9gcbrsr3W6B4dOsM/ZaI2LPXEJJFkYi0ikqZKuuJl4Z
CXeAYpEmn2bSQYnLGcubeRGfF5lbbEL9hTOSUrDYuN4mbTpcmpnXrfnGL3/9yFi/nbRcThBxOJUe
ULD1vtcSmIdhzgZBIykk2Emvya2XE3KUjHdVZcdbq7eNaOkMe5O5M7HvIF7bHKetQ+ETgKvhFrUl
vNnYlgHLLK+H9NQWif7czuSY6UuwnPgr7nnA042JsF0fAJL6DRfdJUl5+L7kIsDxPNaxpoWy53TK
jlqzrSH1mXLVaH3uscSMhkm7rwCkw2KR/3ZlszZEhmeD3LJ4fqts5ilLGbRxAYbS+Qll3r9Zb7js
Rb4djWT4AIv0ftt+bR37LmhWwJGojd4zcqsewEXvMcfv4QSR1qaCL7Cj0pPAA3irL9UUWXqcX6Vu
l55MX7JqJTWEMRpLOA0tZahPUiTzqcchiM9j4l7GC66CBlSVyb0gwq8J25mHc8jhbfJvt4LCJtQC
Li4xZXFojjyS1J4/G9Uut2YDI81ol+GH0TTq0FvcSEFnc86V7u7IGE6iFF73A07m8hNT6zg0zHS4
FVm2bG0TsgF20+A07kJwlUZ9DiMpODJWvO0QeRzwvOTxX4L+ssJu6yyRCFyOOnsLJhhFRHxEHDKD
W5MwquHBmRMshQf2Si3FPXnrmF4eEbDLo9Rp+ZWpN7oNQKQ/WbFXwvMwmMmmaaNFgazATocEo2gu
5Cb1DMJqATQoowDJPnJH+5PlwkMCoLCSqtet/u3uo4ixLqoEaqdPfAcLgesnhcMO29hN6DlN/kEX
9erS8Xa7M0CEOE9IRuJ4Md5td3nWzS7fw4mMgdLSR0HzZE4YJFFSsUGp3jd3feN3+26ctMjSKg2a
WJsSk9z5h9nORJinMW5qZVM9YDsM+SjjUCgW5RQbn9iCyBwF26bLxZdQN0NdsoPNHd/DyPx8S+g8
hoSy30/EQcJ0se/Gwfpiawj358C7i9PshU683whGmaeq07wDsrnhMiEU8qaj2yHaAcP/YCgBi/DW
DKtxwkAV5GpvM5COGJuzDQ+85RTgc/rXW9vvt4oR36vQHCsCz3nfpbtFDTN4aZyorIhSGgTvB20u
OMI58g/p4rQfvJ/xe2FJ24aTHR0vNHXPC96VID70ttbEzjSCx2TtshlmKAGjLumlDKJqInpOU2Bn
u0S5kWh6eZCKG+JiU7BrKi6vN9aMAkaMR0nryLdBz0GFu2Yc6o0tISVgSiNavkrmNvJTpdiunXo9
3J01sBWDzRunbp7n9UYltUOivMl6dY3yGf4iiSMurNC8ybQwAZu8b3wOu8X1L0uM6iOmDD9bsirD
hejcwiufzZTPrundFM1+vJzAtcyd0U8AK428VwvbhKGx878eraKg1JJ+kn6BUWYhkoRwb0DyhSPC
RhTgrbpPWb2nJi3109jhoNu462laFZDBBXVJkXHO9BXBC/q6zc0mW6+s+vlbvfAEFQNbxNLygBZS
qgPMYs6eggdbFaL9nGWFFnHd8NGUfCDhYT0N4kK0pJYyBZjb6Z+/LdkqsrnXIumt8e4NzJCQiL+W
YM2czMb11M1TUx3tjCQ7Sc0DO2ykHuimhYs4qWPa6f4lIQcB6DA/Bl3iHxRpmnjG8k/0hAqiJiM5
VOT9beF8d3uZKHmVGbCI6i5uWHl8TQ1P7auBqJVQDIba9XPj7tEoBUezyrh2pePvy8V9cGfvO6HO
Bpb8tnlkYxvOaGqsHZs/T7Ez+/uhLSlZsjX6Yt0pA5fLB9OUdyBoMBQBlU5acf2xHe1o2rkdr6vr
35J0/rlYE0H294YZR4Y5+3/9r6rP/4OSTvR65i9bTPjcPf/Hj7pjh716rn78/W+kSz7LX5Wb/3jB
P2Sbvv8Hqkg8CxFGM99nr/6XbNO3/qBU5dRbt3Ek0yt2UjeyS//+N9P7A00myLoB5gDctLp6/isO
z/6DV7jUt0xIXnWg/45sE187DqZfzhGc2lb/kBXgQIDEn+Sb/toatKwiVQeVtRexYd/nEI3Cfk7r
iwnhZjjkU88TVX1Nsf3aTHhrfM1IhueZc3pMF/mPTcib4V6mjV085ikpbTDq3EtwJi+mZu7gByqT
qnVln7mP5jKSqj7CYTrHRbryiru2PhYk5+yxHl8e4Wg0P5fG6x5TSHk1ehazu3Y9DMx1f80hV7q2
tdumiEbdJygCDPNTr4iXtlXdXMwGI5tNUHfHZJg9vNXJMXjU3MW0T6JT+SkvA/glGVFQ90UWL/qR
7UU76TlvtHXsfFhzdwcXW+AqfpgaYl8rR3NObgAFtM1EV8JM9IsMPHbOPscEtzyQ5r7S/q2Evw3Q
BlJf5oBsSbmYL0ESY9bkplVzIdWURM7gFleLmUt7k6s+O+tV7hE3gO5iQ2tYQXHH+utWgzIcbKo+
m2+DjHpoqLz6sibiiniioidw3hycqr9Ourn/aZSZ9olIJQYhJcmjz3TvhGOlWgz9VGlze5VOhUPa
Hob3IopRQbnbJB0K2IszPmOj00T9bCHprtsig+VeWJHoveZMK+wcc8NIlrCiYo0qLw8OZu/Ae56s
n+S0Mid1UwoEmGi2PID9IVSFU97726nTubtpH5gEV/hV9qTSvDjONk6nc6czPqfavnMa3YsGy5Iv
K9Ui42rAN+m13PouMEz/anSDe6GJPDk5qWpuXX82MQWq5WXh4GGwRWriaRHk9VzbTf0Aia3AwV/R
mbjORZ+4MzT6KbiWbS12LWh6snUau7qYB8pM0hnGC8ha+i0Rrd6J+I1xZ7i984Tlf0kX4XR3gCLp
eGjMXL/NFo1QaoBsxu65MwVXlHzpNUxbEs894lUvHelbZ6f1zKNurDb5cdzgZ64WwkxI+CI7j+h3
ck21IIeI1qNqKoJhOsejuoPpEj8FsoYnVtj2V09W7okpWkkylDRXloERXEE+Ro3ieDWzITG0pJfU
yheokgkeSjfUs94SGfE4EGCvFsyuSDCbN9aqKMjmQX7SKO6BnfKdPnKwY2rzJEQVh7HbVGHbDdrn
1pbTFmL9hT5x9Hk9x5Az29ddAT8X9CYiPJtgE2k/Usntqt5UUdN4IJCLl55t3R9fyqr9bmiyveIs
uWulIMhZxdsY+mAZEPjFrGoL83i8rtok9Bxhb43cHTZoIaOG1I7qOnZQc8FJ8yY3Gk2zQLVZER2R
2dO86Rq17Cd99jqYnLCwKT23o46P+jrRJFQRduwZHyt3xzIcHurAri81HZmvNKwG+KTr+1vSCskk
hjwqGbzpsBM3BDv5T0QeQB3v/E5j7NIl6Xfyi3U9ZDchQKXRly64wEQ8TfdWz8XZeE5JHFTtA75F
vMjRNw3xCTErYey18+hACt+OSIReMqvGVN+gbAZscngsumlvVI691wdb35GNYhwN6S3QTnV9XyU2
kczJEscPHpd22zPx3oygtJGfQEomtGNkNoMKGIgl7/pozvPlsoMadufncnnyjTUyAW75cKpMszla
XlzcxKYfRzpl3E+RjQQaktFrUh11+hyhdsHiytJGBicmsX61NfRfMQjSD23hkm4yLEV2IC66jfqm
SOgflGdeSoSjKEKC7BC0ifxim9LhcZhl2MYMqCusk3alXQ93eokQhuS/4sKr2rkNSSn39lCfO9ZD
om7AuBjV4LbVf0umukQ1GByWxDkZxOecO70ov0gzUackmQ79Umh3vWAol9d+8WkG5752lb5ck2pQ
7f26tm6gu4isO1bDMN/oXYakwbOGhyCwSIUXOMsx9fIIjCqEdqWrWhcni6fpehSyJGyOHR7+YGBc
2GP5NQ6C7qunFcXnNuubSy5zcUtinf1ERCCCj1bqEA7acogBoPv5nA4zk2aALBXmfWftRh9NlXJ8
8xKtOHHlY4y3ux30p5K4xG26DA5kkmE5SaZzRGWU3DoCYkvysarlLl46IAzCLotHP5gsgium7rpi
wnrhldXiUkUuYqvcPH9pi7Q/GgNJTptKc7K70k54ytb39rLMumFUYEZJVcwH0xDud2PEN9KNE7Y+
vzJn9KolUobSoFLlIK21s6dIEtvYSbkfRo57IdvIyA03mpdi/JQGCvvETmOyhSdmcSSwLNnHdspk
Mo7LRzj7y0Nn++Z5YRJEgKHXmhfCJsBuW6eoqekdXpgnFKFujMU3dE8t8rUmFw8TjqxoZCg96jBo
pXeehJ9fIg2Y4buztzpp9WypOuMxLvKr3JbJtSWUlWziJU6QDYxB8TSyn4ImpTpCrjmpm1ucfIzu
OLYZQn3gfHMzNVV/gerS/azaYniYcuNF9k2z7LNYaRsvKa1rL1DJD6/vkqh2CT/bzOYEQVphm8E0
Jph2sKvNz7n0xnuPreaZ/KaMTdfEl4w8ML22NzjmiAdvzssfpUXMPcEUZVhhEbwRVWd8JYbIdMkl
b63rriWjc2ITncCeVy1wfrEIZ/gSxMm3IFEHlpZ/guSYw0hgTkLwyKEmsYysR1LU82a8mNv4yoEJ
hkijRdNGzCS9qZjNu0KySA4EzjknFDLuHZl28UZTvbnP66A7+mlO0eEshfom8uqqmcmRMkgJOJpE
sO/bnMN000rmOCVSqbB2zPEWipai3tM5WisriHDnHB8aiPORseDaTxqBvCmR9jyA0Gt0pIGzKcra
3QpFkqXXONq9P3m7ycYRTuqmfzuibbqSY0K9Z2X5ozHPuBfSsu3IBRQvNalFe6Qe9S6h3DowuQTj
sggwRWvRvAzKpCdTC3qB0XXnO4lHw6HPOwoTUx3sRE/PadPPUTGk7VNQkww1GY3704NxvRWxcy1M
mZ0qjeO+Nlvj21zPQ7NZ03Npmwei8jbzoGWnEqsem0qS2Mo41sfzMudJFk6V5l4Bj7GRjFPzrRrk
Ks1T/onEuW4/Iiq9cWfqKIOhUOR1pHouuScu+zjQEDJAysON0d0wz36pcMa9yUR71ftWdzB0OA6z
oVEO4M6/8Wa3OLddjQlCP54pOrMwD2r7uhzM8kBMhLVpdM2OhMWs18vOsDG+oSx4gTdx7SWJiqqm
a0ZWcOZ9aoQQFnJT3YjSVjuxJwKfmmWeotFgX90081TDrQQrpowIWkJX3G6MrLnTPvmk6uhfR7H4
3sVAWsyepLKAew/95CdFVtNjPVEZnzmk2v00dsYPzxmT9mKpCNaDq1cELwhpDMBfyWmkkCTd0Z56
kJX75VJX2iXTM+cTxeR8QT5wurF0VZwVfFOqOfJ0Nj4OYvMWyo0iEls61n1ZGMmhUsAQdQnuMXb5
yXKEe8WOgP6rTaqzm5iDhKNgZV8ErzibFXzdLXXmciU7H9GQ0Fvva0llfYc9hTyzXp2e2qubI9nO
w22htdlIJB2wBhBVhwzNJfd3R36fHvp9YchwMuryboHD1+7EKJKvdZFWZ0sVC3aylelcWQ0VSlGA
4mwoVitzkyZuc1OYneNuVaVid6OcEfATlVOy7JJFb5DKxSJ91IvUOEkhGE2nuq1dJB4lho3apSFU
72pgEFmGnaouzcH1bv1Et+G4oczztsQ3Vy/+nBnfEtH7l25QeF/71OiP0Iw1xDVuVjTbCpeLdBvX
cT/Bu8T8JqyJxWIoLEB24gVusSKhriOlVc67CYbuxusaP7JbcgeLoAyxG5MFcu/A2OJEJvfsWs9D
RjR5YPYN0jg73TObrrbg4PvUTG7M1vnZGkNyiOtGOxKbovCD1o7oMA62k10tzRhsBldUYUnGyp0+
Sm2H9Dfbxw4xzoWOHrC00U6sLYbnVQcuBCKyJqobakM+yYXr1D+x/yuZrSCDcCfSQAsKblrkYpOV
gRYGTUogz1iioUjuu3QhSqpMHjTKjg3t4BjJvLumO68J+PEvLZMBeaVrxG4AWNGMfGPQfC6cPCSb
jJSmIONs0JOnrjFPiU5r5ihJdE/vueBd7bwpGiSb5K0vhKYYkPPdeAnjrLJCqx46/A16PudQq60b
jA1aOMkw3AyRDj0TUMZgPz0gQUzDxq6vF7SzN6NVNTs31ZdL1p69F1YchBw9xmYcZzQz9E3WRV6r
5FOMcdLejknNTtqh35GF0ReEN7ro1URtRQt2mRSl2jzsJ8OJb+fYMWJsBcg33WpB77dwtjp5duce
EWVfcn19SXB1MZG3u1j2cLA1L/7cG2b/RZGVDh6UljQsOQoLIs9nT4SLOQy3ZJpV6c5NBHFtdjU9
d1YSn/DfHh2itsWGgsb5koyiT3ad5gTgwgsNzgUYYvbJFQkm4UzqloOYdPTZRaA/JrUq7zo9EaiF
JMPKvVaU6gK4tKMG9ZVkyxvEo038ojXzKOqdf991hXNigyERK2OyNJXtM0Qm3Cvc0d11E1AoLLqd
MPThhzn3qUl1qvtXSW/5B3qsumPJCTj9jES3kznDrG5kPDyxsrJt5oiMlLsq3Vfu5AJjc1Q7qKSP
IJzJRU6g4qED4dRxCTCCHa5J4mQk7PnsQvr4OXGK8mtTBtk+c7u+RjKlvAefwsUmH7sqpw15i/9k
l/1/A9bewG/7H82KXan/fAO3/dfbH9U/fk5+NCvk9eaH3Sv8ddv/kPOnH6ovu39Zh63/8v/1l/8E
0e5nAYj2/FJldZipTmbfuzdgGnAX8Nf/bqd2/1xl5X9cPb/0f/Kyf4Jw+h9AbBbOqIGD/attQe0Y
f6ju73/z3D8QZTCzgcGEbzSJD/8DwuGdRllK/4c+B8cwRnP/A8L5f+iQVngVWgb4frAZ/h0Q7h1D
wV7HRrgl4k3Nu60o4VsITraW3/MQyl2WiBsDKjY8l/aJAX2yhRe6gbBzYatpOfSQWje/XKmbf+B8
vzrvYhL6Dv+DaI30EWYTFu1ob94bMq/6sHz0RInKR1sOcecmSMPSeSsnRV5XTw++lLl5ztSQIr3V
s3PXGPp31NfJLhBTWu1SWMkjSWl4tgxErEJLm5xTLRfEEUR8XcCpqUH/VHBpZRhv9ZKy7BC7SzIf
Yl2gshfe7QBNsLgUFerV1nXvrdSixUkQeA7e0rDVTKNxbTcGStDeVZdJVrFdZQXyXqdbotK1BDHn
pbKuPDwR7w29VTNFubXcyjkxz/Qa2r232NPW9ZvgerQSIgQ8y75MKBP2mabND8y+7F3rxSWRddOy
mk/0e5Oi+BRgkbN3smw6LjQK1naSGrUcXbRWHGxaoLOHcwwcS2w1x6MGTGOd2ljDvMv2rBi9T0Bd
rMVusW3Q+Dz5sZ1b28IU5id0UJCG1SvM0mlcNWXNh3nI1blLJCJgZLTVbWUlw48qnvWvta0Q4+mO
Vs/Mgmteirh3/DImnP8bzR+rO6yOHnuMr3ZDbKYc393Jr+1TQH7lIckZjwzSz/Z5qz25vR5c6r09
uWHZT+2m7OkfsE/L++zk5tbUHZg1T1c9dhLcrKI4Df5U7cvULfYm7qz9Nifv4lzjaHVMURkfrCEd
7xOrIQATaCDMJEYTSuFFs/TcbmUU+jMdg75zawFAFHjVtC+0gADrdjwHRbay3aW4tLQC9yYPOS9G
AOhoqL0P2JXkO4zyAyecut44zxnCyW21xr7LfIxFhIyJ2y9RXSLxt48JiZsbIiuZ2NtQK9iY1aOb
GP6jVxQ6ubIIdiewB/ATBKrrc95hBr1tMVq8JMc3uB/wL9ykVd+Fo2rUztJf3VoCUrUhWkwb7qC6
R/Ve4kMBHHrnJyowwgGlmYHeBXplGhZNa/Srz8n4lPu9ZcDl8E2dS6zD6y3UkLFajBGgx14WPCCs
NackqhiaX/m1Z32r7bj7pFs1qKyX41c21/58NzLX/kFai7zzRhU8dCTMtzgW9tpTnpnTOesr+95C
MWSEUzO13pWNOLTa1dPQkI9IKscYGZrWohdeeSgjBtjJZoKx3hy7IhlRlE8wBAaa13MuDYlunc58
v3jOzNlqUEoEi5t/U5Msb8YKcVib9OW9wrPpUDftkb7dOfjl+HOBFrup5DRGRW1ZPxPcHV5wKskP
c+Jkly3Y9XHBTiM0YugMXE5ruAJOxabCgSYe9pPRPbijGXzPYys+ruBlqAG9gXmOGNAnqnIOOBfl
bZgZSl0uBiGdM5r0RysuodX0o3GlN4vzjNyohj4BCEZIkbEb67H+VAPB3FGWGs/Ijdwbo1960gKJ
vZknXz3EOTTkclD6uZuS6kuaO+3nhgj5ByQaNkFnlLNCzF0cOsVQjFvqsHEvlCphVBPoqcBGMkN+
LzOzTk6pxVxvU+Wlbz+YTdaMO4dXfpELplD5nNJuIns82LPeLzsjdZrlYML0QDyVYULSuFRpCKrw
ZHSWCpV2LxkoJHqL7awzQQxVIMm0KfmQPfOkAZLWcUq9Rz59trr6shtDuyWeJS1W6oYnxrnG2KOv
dr0Hg5yUy7m6WCxmJFFr028RpWb6x7j1jSemHMFNL5fh2Ope/KgsU8IG0IZRC/Ma+HgXxwPLZsi0
+Dl1Z8g9cReMp2R2xs99XiNsi+m847DNC+a7bV6qrQH1dBcn2fRc55O4AiZV5kVa+cFu0Oav84gD
YDgDgO7rodTu6t4SP9p4Ho5qacj480yKXmreGoXPgH8K7Peq/sLDvyT4wQxTggKngAJaxNARNr3T
zvqmHQeXKGdkaQo8te2ol0dhfJ3EQOh9lxZGhBYGEMcFmvyq1aMCviiE/VjZQv/S4gq/1Uks/Z71
nbm17CUIg26RERisugb8DV6UtZCz205BvofvrdcbA4fLBWusuCGzdRqclaCZYeWFOzrDa8+6j+fJ
hR1ss+g3jd21hzmXfABQxgI4L11Gul/IGKSDF3lFs8jUWrBnMq/Dg2TOMLMrZirYOHH6amu61jJF
fjEKjXq18TXMbzh3fMtpPnP0xEkISOz12wZFzkORdcupIPQ54pbVW+biXWQTsnBuRcyBR9g93nBo
wi4gxql6U6ZEzqNfqeqbNlY9szCWg4Awt0W74NxAPk9ThveedZ0Pg3tl4F9KX2Ji0kkoM7vpkp6q
oB33KWIxucGFNa+3vmuTgh0IK/2EOYXhhhjAAMRRyuvrQtcoEjoglgQd2Es+Vzy3Pf4DGCwVgfop
Z92/xoDEaiB/QV6B8E0lFDRd+qWyif3y9aa7Jep2b3XudIPxQPAJBDP5bHQOFb45e9tY6n2FsZhJ
JlFdgW15gVw5f+m18hTLlohJ+6Fs2uH7MP83e2e23TaSbdsvQg50geaVYE9JFNXLLxiyZQd6BJpA
9/VnMqvqXqfrVHrU+3nJkem0RIIEImLvvdZcoEKSPG19DJdyRtmceOYSBZBuV44r2ttgSW4YYaEi
GNiQCbXbuWYNT8a3k6dhysa7YVH8cOI2OWQqw7ov0sK5A4ZDRTv6RvpAtCaAW7c3T0k8b5ayxLxZ
Fw8aNdPKqBcr4ky2TU1ZrTnAfnMHQ6xHrz3nswQqN1NouZni9fhBbzvEpX+kBVTvltyzo1KpZAuL
YcQ2T9P8Hk9FmDHst5xynSNUwjHuqZos9wDFZuiiP665qTgHcRD6UQ7Jcjd3AK4PqAWWB88meH6F
0otO9zjwhqiESrdd2TmmpLTT7XcNZ6rfuUHaf9NB0s7bEt9nshrobuz9wTZvaA0OdBiDAr9qVvpk
CxUkbILTsKBNHqrUgywzyoXTWl7q6tF15+bUzf2icda7XcCRT7AfKoBVr73o7NexMYuNL7HssIVO
aKh7xnUgPYIAsUzWmN63ReX+xW3j8cVaOFJClCIDU1KIOWBQOH1t2s6sn2khdRNSuYHnqZzD8L7p
1HKXg94kpdxn6G3E4d607ezsSC94A6TRmtFk6aLGhu5N6kAsLuDSnN4eXx4LOPiRsGBGw4ix/R7m
dgrfm8Ef1NMxmx+Z9YsES8Jku1E1Z6bYm1Pd3mhw4h396xo7VVaqH70veRmZWfj++V5c1tUuacEG
eS6LGOQ40d1g2SnGc4Wki+mWNHQVFXT6YHFIY2Y2YU5Btc4kdrGVQt3lQRsK0wIsherFVsyJ/Ti0
cWscdexLc5MN0O2OIcjBYHv1d90FVLBHPfiwhJLSxJrgeyCarNnF4hZnIR02qqIntYz2q5+Y3isP
dTYcLbd1TqWVTNfeaZazpOf+86zglpwmL0/oWqdjAzl/IqMHIUrYcmRVkzotVWF8BHTipnVsLD7m
N5Nj1Ga0qy6NMAh0w7Y3PY1kqOJxPSawUV4LpNMv7YwH/oYcLC84iH6Uh6JuNSr1xvhOsGp8zK/t
YyRCxLPP08hSXNMIf3NG10yoEoz+lW9b3brWkhXRUjr9QbCY7+OusE+LK1Eiibi/KWtAFJGIaxqs
XPpm5k3oaPLc6Y5ssyLB4yBjhFIcjwD9EOzy1Jt2o+Rv6rFf1eLwfu3wKry9xuMEBHRRjv4sx6hs
3esidftNbJl/BpB+pb/82FjqzQnLR1tUbKx+Eq45ZH7psmG5/H09+IsK9c+XRycOFEAgjiMx+q8v
T1ikXeYgRADmdcywFgWMZkiL38Sh/FnR/iw6uV4l7SwqTpPX+Tf87NwtA2AwVyPCB7unB61wlxuO
EezdhIT7KB8UPVY7rJJPxkuGjTy1AebDLGl8s6aZ3AQGUjc0GvuHPPVD8oSBOXiuad8Zo5rfbPs6
t8o9lB2afbG/B69Vx9s/P6r/68f8ph9jwb5hsEoT4z+3ZG6/y+Sj+Jg/fu7I/P8f/CfQ3oZATyoF
BZJlOyjz+ZX/aMoE4R8BciigA9Dp//l//qWM8v6Ar4siG5P7NU/uZ2WU+IPuiUAxRc0FuhwJ9b+6
Uv/shNDQ+o+pIP9AlP90kyLiNa/ZKhD3SWS7ZhP99VnQcdKTe+Iz1QtbV+5txuVXMtkytSsrTJPP
KS+KI0cQNgjhePrRteZAbjxOdcsWRa3z3GRZeah6j4my8vJhootpINIWYz+hLjIS5znsfACv42ie
S8MQ3KeMn53IxximmZm6SG+6GibnzpyBB92YRj0dZuyHBO3KRG6CmNzHToBOZ4hY9JQnlvEUWro5
BdrXb8qdiNHKOHWzlORRUwUPJl629eCYd6DZh1WIUJJKphvab03B0DLKnK5sIi5W3pgZNLJVy6p5
gxJHgZt0k2RFJxCF7lKUex8b0rmxU3sfiwDUoFic/ZzO6d52cThXxswxvSxm7zLSzHmi8RLsRisf
bxWA14gjH1oQFG4bB8Mgm3tIGHniRTaFuwL9H4z6Ia4n5TNSqx+s0FBBNGINhbtpgz64se04lUfq
u+HSDIU3o2utXXnTpH027uJgGBiijIXMUYM1k6QJERNkLw0Izqu5zvphK62ZHlExhIZ1WSwRzudW
Bl51sVzTkAhGGuIk84wkk0OCsX45aLP3smM8jKGzrrPYGjZak7a+pflRvAGGbMQlKNveZmzK9Jwj
NaLMyNZ2jihn6Qa9jb1u2Pm9mXxyepQ+R7cy3FWttl6o0CnspCnl1dD3IwynkzbG5t6uGLbX7axy
JmjGHvXK8OZ78BoSM75Hiu+tvGakdd5PJa21dlzTUUkvABXNrWeyVtYY8/DIC3PcdW7VfTrl4CNt
MhJ61gNC3XVRmzQlPBVgMMsgO85+7c3rMu2DR0Bw8w38W8T8UyquTVs695Af19q5HuuhAO7wACAe
8qtyjR9Zbsw0ONLaC0mAt5anuEqt7dDU4ujRUlolmbFLK8s8X9tHed11j8gpMNpbXnc2pBUDyBpl
ueqxlKyoLpjn1XXil6uGrUjuamMsbgQnkTW/q13PZVFyLnItZtuZmz5xt+pTzdgBx6Ndg86ETZmR
iUatBBNZr0tteRBapEYWOObnMIiH957vNl7JOra6iDbjzNx9nBg2LcY4rtsWlGNZ+i9TmpaXZq53
9QhZtAnN5aWk/v4UNsqxNvDVY6lhx/iJzvjcM8QXmWze/bB3D7RS9a3q5++11opKZLbLTTDF/R6Y
VLb1kBrnb8oYvcexnq08spLc/0KfAeGvWXruYSwGYzsRUrZObeVsPMPWGzE0ems2bbNbQn+klSWI
+LKcfFtMmRmhmyj2DMiOZtl7rDDlRI6aqd9is0N61sniXoZOc+xUVh2bOQnP0mniD2yoYPn/b1v8
c9jxm20ReMfVaPh3u+JOZx/tx1+GG//vp/6xJfruH6ADiK70KPZsblp+3z+2RC/4gxgiyk5Mmpxj
nKuM+F9bovsHrDfxzyEF+yY/9C+xsPmHdeXj4YyDPkOl7f43W+Kvh0N2Qvpe5jUR3QK17/9CcQrt
dPC6AsFHL5IiWS0oSV8TprT/HXvFpej3XPrHHnFVNtf1y8t06GMyOB7exkP4+mUwjWBLPS5bLO35
sJOlGn7j6beuO/lPO/2fr+jBPWMWgnUQ58Vfd/qwXHJkALG38a0p5HEtzSKJqNDLKyrIASLhlekj
e2q27+PgQY9maKwafupLNTvWzmzC7Nh5iXO0Gsj49kI8cTgX4y0dx+XGmnL1G6+YdS0Cfn2/fOVI
tjHS+vjh//p+M5YPFix0tdDgy88RbGqEuJZ/5vR26N3F6Aml742onevPFl3jp56C8QUXGLEiunZ/
SDqZz1U99Uc5LfWPn27qf56kfp4p/WmK/7e3d5W2Wy4zNzvgfvy5hvHDxiSNYPY22lLubbpY+cS8
tXbWfjcmpxmVHughi85E0TvTBv6XJCAGASbvGQPOhG3enmV5nifsSpYiOti4TBJ58ypGeIL6tRny
d1Lkgt0Qu+19Udv1Vy2tfMcOqB7+/lr+ZN79ei3oIojZchygD9fB4c/XQlD6aPbaERulCzpBouUk
Mk22XKNjS45jm+o8KnH/bAzAzZ8VSc7xqiirMF9VZS/29A6Ni56m/t1zB8dYWddwm9wQbxMaoq4T
t36Lwb3yU6JtCgPXvaOHQ1/TcWtl9q5EQwkbi7dQ9M5dbyC2q+YzopBhr2avPOQtSFmrrJob14gX
tbKTkQmKnbKlJiUnBEQW/kbPgYsyaHRuW8X5I/BQqKws7aiTAHZ222eMmVYJq9GpLc1xXmW2gVul
BnL79vef5Z8P7i+fJdo54eJacIDPeb88ZgpiUC6InN5YsVOeazAgHHlG8ybA9gUe6YeRjdOZRiAd
unIKknKvW2YLXlO0X13V9LeNHOGN2o3tH2BDF2vfaOhpVZVvRQg71H2d4FUckEJPJ6nK+TNkMoCk
NK5PBNQY2B5zeaMWT0pI5SlNOWlON0Gus21PQsZvbhxW1n97Rnkyr1sC42bBo/DXG0cFphr860PQ
5c1wJ0tbx9eP1j0olvV74r3DbUNdBGe4YFDZBPLkKA5rK/JR1d5a3OAZJf78HTGd+e3vv4frx/zL
10CGCjkpfANATK7D9Z9v6UJy+i7EKJCx2iJy2voH+tYD1vdp7U/Db0KM/5ePgWYCo3Km6IHFkv7X
F6vZH0aQ92KDPdx/M9EWXp/i7Dc0qv9lQfzLq/zylBYB9OPOacUmd9L0u1l39c2sK2ZSEGHn7d9/
fL9O6/nkrsP68LqjBoQP/vLxcUvSkOXEv6kw8p5wVi6fuLu9G9pi5oNNQj2bBgOnmmO7Wd2HVfxf
Bmlfv7prtjUFMOu/y7/+8pEaI4L+RIhN0fvDCygONPvx4v9mF7Z/gTW4tJ84OMBtZAnHJOT/okqw
WXKDuci8DRDrB3UlkZXmvMvS4TKVT3WYnqfKiZxp/JzGOcJZb5wXq0Abv9SMr5xxXodaYwJIXGwc
yLN3vkRXJqaHzlZNlM+JuVEpph6T2SCVKg4KJ1xajKDNdxSZ/ziU/sdi/tf7A+oBWXfslTBcrueq
qwnqJ0rN4i7YVDh2b2ik1RFq7WDlzRDvFq821n9/e/zbx4YY5LrxoRXEviV+ze9KlphQa3q9ZNd4
8hjPCHZ9c7nip6pi6+B22fNRh7950WsiJZfw81MNs4T1huMSKyvalF+/rhEpol0SWrKhR/YkEAdu
HBm0DOWn8c1pasbNmBUfDJkeWjlSpVRMCcfZ/sikbUEzT06cfagBA3/lxN59p5jLsrg1u7RVu6Kv
FGEt6Tsk3vd6sHapOdYrZOLoFsqYln/RY5YYpwNjUszYfmfeh96Igr6kWkznRK6u49xVas7mtrVi
cRvUMT0DgPTKNgpw4yOShZixkKPKC0A/8ktgqvEAPcx+HrHoH3I3eJRhrc8LnFC1fOLk7M7VUgpk
zEK+dbWhz0aT2dsx6+Q6XjJrBa2/XLWdn+2K1KsYpjRF9k7QEoNynVZJFE7d8GkXYbtzExrbq7J3
3PcptYNtaJZPSg33bbBjmoyGWFrf4hRKpIhLtCyGLL9gK04XslVEuxVNDg0tDRX6NOBeNhHJdy7D
0Htr8nBY21kDTi1z2XNbbX/vnDy4pbrstqklLeSEOR2h0BrizTJ6gL9idqkvSKTHTdpVE0FRc6QK
7xG1Wr3uG6eUq0pr0p3xcs+n1kncS5wMDYYA9J30U8J62tdJtezswkFl86Rxg82Tu+5nO/wxj6gf
R/3UDPo7uaGQlW28dM4CMi8MhtcyoUAkymXb4Ui5jRFRv9DBci5D3oLvmVUNqnMucLiFCxw3p7mU
4fIyScSpQ+67+161Le4vaRSrPJg8jMD9cG5RA+2spRD3mFzKT1Tb3Vm3mLNJuJA/gqEPd8yBu73Z
kFTdFYH1VjWqeB1TZ4cpo+63Kczy+xq0FRO/giCMCR24iEq7mde0v+fnQi79xYln/azsDFqa0c5P
RhKrnaqN/M5QjdzTsDMecg5adzprkiijibi2mtLnlT11F2P02uTjZG40roIPI7baA9N4cYfkr1kn
fHv7JSv7S6KLr+3gz6TtcIUjWpwdYsJ7U7q7pX4yLQuYDFJ25ti3MUbiXYas6lBbef0tjq3kqTa5
JRtHpxzAA2uNP8I6kg61rHum1Wt4GEi2Uadc/GZM7sC24xwmRiCq57b6gSV72hqDOx9LRdetEsH3
pBHvlWnG2CstAoFWrZ1Or37n1wjlR3o5M32axMHhoLtkOQQjGRe6la+t6l5ViCh81Qur/VrAnXwh
cdkDHtWUu9CZ6w0zYhszwMjwqWzFmt6nt89aVWxbg+6mQEIQASaoXty2Mm5T3tUa0wB/Oa8eWGGn
fVM248HqHW/D35I72x9vIFB+d4SEkjQhZMhCCIaV6UxRhv14ZxNw8TjQ8dwME12PHCzTOQYEsbFq
gqYc3N5dIOqHoh29s9CsCjyDy9p10oGIYXG/KNO56KTkO0GyXK3RbOija3UjD1WfbJNwRLYBKW6y
a3UDwCQhN8vDfTWTviHiJXnuHQiaTMyWk2k2XGDddNEsWB2Zg89sEE25ElaSfXSaiQNCiPEuXeLi
IuA0YcoySuInyQZLimwn3PQd2Va3lYzA165R4JA1sXMN4bCejDK7Q0OO5YT0k2/MCfVqDJps3YRw
pdJc0vAzyhDbC6Wdt3VK98WJGzJNcJe2mySp1pafn43e1A8ynk9WSRyPg1E/z57iPK+4YpVfUCzB
W5lT+9NcpuJBDRkn/YA5yy7rbGIR2qXK1lPrnVsAd+tKJeQoTc4j3dFIVC7cLh0PSOM0SAKlN1jV
v1ZDc0ossUa1zRwKiwPUWnc3Ks/etYb5WOe47UnRuq3EAHRE45pdCSwPb/0CulU1YxV/kZRnxKow
ucbINvdU10t76q1eRld0DrNWeacXhr+9PVpRMjoLIOZ6ukaotDrSaVgZyLIrdwuFFOwhcHiOHbTk
mDyeascY7g0L51pqVlA/6lodhUfH2PWaC5qPmSZoaHykblt/LIRWXHl9eHcx1CIedtObNG6dN951
vQGHJnAuo7oIp2DZJZ5KPkJAFMcmMDVUZ3bOFgExz4UK90OqdYSgn3KwIPYBV1V5UI5giAl6ERgB
YrMCXfS2b1i8s7S9tNaPPKGPsCI9sHsKer+KOitR9/ZYzA+ezIMTFrX55C9+dsIAMG/coo9fgRzM
bxqaL1q/wnoABk6YKnE4hzyxsx15oOkXvEVLpNyuodka+G9KmuYhTXB1Zo5ku02wyTGRXU+5I+/p
7PQb/CA1cJhZnPqhEzexowXkyMF8IgEivRRp7xzabgxu3FAiwQkzeTuUAf/WhcNd42efqmyyJxzS
JrxKae65RTeN7r4GpUi2VcF5EfLZdXUJk4T+bMEYerP43nzoXIc41/ZISJ4wMZR2XnUeCwTYUk1B
H2FfizeGDvxbB6TBQ7+k4lOkTfnm25UAXOC+zMAV13UCF7tq+mEnxqENSVjosx3JkySguF557PPG
Yw1z263LLHGdMsJgqNg2j4YY0DBMKPcGlFEiOZB+qLbmjPWrsBrgFi6pG6iaWkORPET/NZMDlqvA
fA3c3r8P+HlgorD3qjArbpe0+cRoa23MvHU4ARdt9Ugn/87onL3fuT+qoD0Cr5T3Ig+99UQQ31qO
SXYgJ8R8kn4qosahTU076raTigloHHFQi7dtXNKytqw5YaSO42e0Qn1G7iefKTE9YhoKmup4XVEV
+Yxs7lwnjF/81rceSLoxb+1+VEcHJ+UtjePus8MvilihSZKnseLNGKYrvjuTGX4LUtz9eZpmGxt0
xa1FbuC69arWgtinzG0sMmdYsS7MHzbjqRuS6mcDJ21dbdrQrx4UbNVD0mTD9wLJEyHFjqEIWw2G
XVcrR618K7WecaE3UYYSEQqqYL8eaP+QgYi8YIcuy2Wr1E385CpL8+VfQ1i7sZQ7klZFwTmz8RSp
PcBzU3IGX2oRTm+YZwu5bjuMDeh6kjjeZNpJsFzVWXiXJ/mwtXOyCRyKISYksSHeERnSz1Nx8e7Z
2iczGKEvPvesXo0jE5OQgRdvnljtkvMMkI9BGbA9isZYzhOqD45MbafOak6622zIHtB+fHX97BW5
JdqDZLaPZBLKvdbLm17wm3TYoyCi5y2wpKXe2OXVmn3dbsi9wHQbtqCQaBFN66r0mrUqAn1jOy3m
rVgnW99BxlAaPmK/lmjqA5LaLYmI66wkbo/dNV0h6anLVTdX2cmYUvVCcs9Jx5+L6z8Eo/3UBsOH
1SQEc8kvIu/emD+5+1IazC8GExyJWfmRa5Y+w/wg7xn9pOW6Nq2uXdXLEt6VpmpxaYfLviwMDXCm
sDknBaK6DUXbPxpdjnSzDsAnuMrWd0Ra4aHrPCE+QOwi2uYtaMRjQl6KcHqMp9LZ43qp3ifgavUK
SKuzp7U0fh9IAX5cUOnt5qnGGqSUv2dUKIOVYNv71DrABlRajGZgGBHK41zx0k7QRH1bY47Kxv1g
Wpiz6t5atZYONl4tqwkxztGpcnXxchou19lssx66VB2QE48v2I/YdIJgcJpVKoWKvHqhZjWhe6x0
7KU/+JmrvKtcFIQsw2Nj9drEjRYEa8d8DLIN5//u7GP2SDYurdZNa4flDaxNQ4A+g+uH6c7fZaHZ
s+S6tQMgyTa2RKMGjwaQbHQuNA2f0fTV7xTs5okWRb1rcSrwcOtwR0gn/tgY6WQ2RkNYVsQdpMt2
ciBc8Qzbm9mBKJrrYLk3BlNvUHwWHIMhCR2YZxq3ZuLESMOnNr8tkiY+txw+NiLJsUCR27HTMdFv
KXi3UymD52Iwj3bZ1V8XLdMdEXnJI4qz+nERjhFpBlaX9JqYhy7du1wZy18SUYQPOrftW/C08Ypf
Kb9dl8IvpayTRz2WjeAPcyxuGeBPlRnhs7/0/ZOfh3m41n36jYWluEuGcXoezTmFiunnNWixrvqC
RLXhGpJ8n6Dxuin6VN5Zi2wuQzvVR8zDzoGxXQ8pp0TJZtjyNVU6xueJVk7h1j2NXoDjkwPbaxmm
DkQ0HRY7zjwIKZvBJVSrnMJ9M/hDf+0ypGc6g8NL7tIZnAzksHU4dCEshbG7mF3i005Z2nlfcV47
eUXvfR8tiHOrJavSi8OtemmCbK6SlTESDCF86uOkoJrc5y1N2VUFNH+LxbbaJ9WYvXZd2b43mUty
lGMyOCAFezGxe8kxe9YMnNd2MFsbFxA2lOKypLAh6828AeiX3BmeSbypqNV+iAldMRyiQBAQt/ds
k1DFnIU4NTZitL5zML8YVlU9G6lR4AALxLohDJjisOrvcn+6+HHAHJVEOr1XXIKxUpBmf/CfrhcR
RM/RMiepAfeG0TDrmGQgHowEP6zfokl2SXxzowbL8rPVWzRMTfzIGB/T5luh4mkzIOI5WwPqTZIT
Riop7O4fIokzCMzEI6FgEgQT1ZU7pg9OkvS7onE47BrLjEKhdjtWBjk/cKG00FU7GRRVYGjY1Ofd
5HvlPncM03kp47j7MdhZQWlN57A62i4j0ojCQIyncE49e7XElj8TtZgzBeckbRhnbJV9cLJwEl6d
2OJNlzgVMLw6D8XihPvUSLH3lUPdQ4cgcaPmaRfqmsJYjti3x4alYFk0Nq48DZNtSfzAuq8HDrf+
EqjN3LWzTTSdCZ7QSwWDqqDOFpwLDZ5ITCC3uRN2z+kAhHc04CiMjX+NWgqmH4sKkRBSe4/HxajL
r4JER9gFBVvkzA4rUbENzk3pl8urjefjRxIK79ZchPHJpTfvOh47sQpIODyyFbIM8N2gTZ11GbR3
IpDzXVd7AdgSvRTbQQzmDd0wSJf+QJgbuo8ixSFXq3OK4eauNkX2hdKSctEfm4C8iDanu87C/dqQ
MZFvAmc8ZX0S4G1EW4cVYPTUe9dAAytw/r8xUuK5IhOJQi+tH6shDm7iVsh8awTO18KmATVCwnd7
l+EJ/cwdarVjnhPWvOA85jyzGPIhnf3iadJTv3WAdZ5UElhnUC+E2mWtRlcL46XbztXSH+aysTfK
SIkShqGJ9j/zhn3G9vUicwnxIggSL+NKrO7YLln+UXNc2oxj3e95VCV+e23dqy4zPOz8JK0AMzJi
I+qvka/RNM0xUaV+wi45DaTUkSD8NlINf7VFEwBRXuTJHqbvnTV8bzvj2aQEWBVZah3gCU/rgCCC
rTuyhNagx19aJeUxCFV4k2HV/j74pSRzs07nOzpb7AwlB+ur/t7XK2QMtEHbtIuWiQi3LsTWskL+
9KOzxdh9u74E0BNv7MOHKXETsfHswYSuM6SU9mAITSi9zuyuFBBAWLJcXD3HlODLi2jbgXngMn5N
MY3mES6e/jzF/v2Q9OK2Zw0WXFa8xhnb0dHJHX0aEK8f2tHtCZaZ301+C0mVhnBJXPXzndfPyIlY
IqZ1O0Mh0fTh5A6oGwCbYDwjKHfeCEznytmGCTaAw8SMq97QXXJe2J0i10hIqM3iWdwZ1jRGnGWQ
Axd5sG6s5TapyuYU4sCP4r5Rn3Mx0W4rtQFpmVrXgBccOehdQMxUCLzrQPMcGJY4dBxp5Qr/uj0i
hWFL7nN72nntYuxqs4PQ0ALLISPQVnedbVRbE3r3ofZt1NWsdNajClrvG60MiNsI5fFcGBlmL6t7
KOM2ubds+oJYewpqQI1SK9ZRD8pvM3szuc1BUM97vvF+jKBMMXQNRu7YJDzVQ/g2Go7/kiyeB7S/
JZQ7WCxas+W0Fuy9R43Y+jYYtLcOOK68DZaXnXA2lRGHA0WM5zCiAG6I9gjD8ZaECLg8vWnMmxBv
HDUQ9dXFn6mKUdQPJ6C76TfZwlBWBcg/RzBGw1lVPZfEqj1JqZcHw5D+C/P6mpIojUt08Rq6IH7z
Oiq8zHJAUffBSwC2lR5sYT/2cxVSz6b4it0e7P5CRqtynCBqR/CWV8hGFbkVt0roTiVgX86SAG9q
YAOpb44R+Jk4IQ/QlRy35uELyyhIGA8WbrgN65GjfQxb9sAUOliiuWtUCeXc1w+9FZj7guN9zWoa
oCLWk51KPDEj4HMoindNXcfHoCFMK6lbRGmj8G5IA29wzFnVNmiWjLC7jhqoKzzgupm6T6f6visd
59ma4lXV2l/S2vsIC0gWgnTQdMWJr8GVjal6XbVeRPb4radjscdaZz6oWgBZqJzgWM5jcZt2+VOV
EFxuQUfECG9bj37ruk8a080BJMuyMZrhMbYxLAexNz4AjjD3uhD53cROWumy2nQyQ9tmLPIRMXm5
6/rW29olXWYaus7tWLnQFzzVb3VXo0IaWfPBD5/I3TZ2U1wehqL1dxo7NvjO/kdPtfI5wyhwlDFF
ekY8DUKYQG8mX5AQywOKKJRLoKZQKXX0hmLs/9zhjtwszpI8QUraLsxjHXhZByjA9sacu29uVy4n
wtudc6B7uD8tDgCFV6HfV/SfMKYTT1vnptGsFHzojS3ODS7IFaYbNUSt6PQ2w0SerHpGy2pjNsUp
aFGLKGMTZtUdPiL9XobiUweG3Gljsg74XPjbQeFdtNlGdefd2Eu/NxT1Xd1L99Q2yZneb83soNzV
SXapDWF+TRCmszRRDtvInWjnD/OJBthzHmLCVqYfMXiI7BTGmERffHCgg8gqc6klpuLT6cnYzp32
y7LIG3ChOKJkWtdyZdko0Zjt22wHhoCdTwlE9NjBt+cOQVnYoFfsKyZZHD38kzAmkmYXCmSvmH3o
UISaBVZJTP21nECqOn2pgtADzwEf3qk9inY9bSVr7tr0ZQ5bPxVfcd64j14jicWViZ20q9EAk+XO
Wb8v5hl0FlVFchQGguYdYA7x3g6WIT9i/oDHs1UedW9oPTmuj9t0xNSzyudhk/PcXjO1vQ2SxBkv
UKhoZbTpfIkNN35slAOkRYfEjOCaPly1+jKA6dMIG1RGNcAk2OO+TT9iP2ZX9DNuKXDOdfZkpEvG
yBGPV/gh05iF2BKOj38K9tzJS6lPIpl7sNzCMMsvofSFg3s2QHw/a+YjDGgJmieREvg4oTZjY9MT
9fp0paHGNARtJ9f1FJfCCnz0QzYO+aPuXVZb1g0yxbOFnuYYVzgsvNTz31VV6I+5tsVnjs0TwWqo
yxWKymHVUddFdj0VZObg6gqa2er3gHnxUJh81RSDA9UijA7jEhjtG43idpPZY8sIs/ePeKbp4UNM
AEgA+mop7jyzBqSkmrOT2YeuVB+JiROKOddZsL/Lujo7hjx1WW+gBB7xpLmykhfBgeSWOy55J7q2
oSJuVmMnzRt/BlEkUPjJ2Vb7YmhSpkszRIIs3A1l+GWQw4NopjcXQEtP8BvHjGxxmsOE9VkGEh9O
1dZ3ITaCyGu50UsEiJEU9lVkY+kH9u6KHTKnS5YVCvGhfyXQ94Y7yVWxDOV3GFUFSl+nizj2HCpU
9qvej6mZXIIuK3QscaTCbnxE7Nk/y2uC9pQ6NKkL0dxlCBhQFN92jhFvrMm31laQ0KTo6jh+o14o
zQ2qtGbt585yGGqn/5JaWVdGLamkp6XHz0WOcn7FPaeMhUE5RwZKSpa8JAroF8yZDPezaem1Salj
s/6UeO+KSjw2+Dg5aNE/TU2oP5CV3jtpWLsZZeeK3up0m9aiJel8Wt5mn6qtjBhl0dlALJuevbZ8
G0fLucjFiuW26/+HvfPYsRxJs/Sr9GpWw4SRRoneXS3dr2uxITwiPGjUwqiffj5mZaOqC6jBNDCz
aGAWlYtKeKTHFUb7z3/Od+T0SaA9PXTcjq920LrvUz0D+qhZ63ElmkmSJFMgriOdOEA1PF4G/GBG
ss91FN5LpKGfzKZMIXMS3sV9VCBU8PrxShrKM7ehY2YvjHDxRjfNnoqY9ZCb4mwHBvsC3acvOanA
pquGnZMPry3Wa17B6IUF8r4yfQ+YPIGxbm70WkxQXDZO46BxJwYpJVaKnCvxS1t6GY6Rismk54O2
ylzR0Gwf31W1tyBDpn1X9g47tROcfujXst/QuQOOE591tAumnIRcifvF3YBv+YFh2akwMVbDIWfe
fBdFgJbq2vXRSaz6FygWge/J4gMxxE0Yr/I66J8yx7TGdW226SEN0yUwPHsXT/n5izW6UD3AVtLN
ImyAksUAQKgv3OhBkZZrPTj2uq/iE5sSVgxWnh3GJsjyTSPoXVzZ+TA/zmNcHDCaDVTgKt86gOIC
cVUsDcoW6aN3jMvxTwLB5rrATPPkEkNCFx6r+OzMNkeW4/W3NmVN1lshgxv+5zNpXWp0/Lq0jw2G
82LtOkN6N3BvOfVTGLWszKDjQeAfJw37oOTLTdTHhkvES7zGivua6lkxb8z+Nnb7Zj/4Jn0egXV0
PQJ5q0E5e0dzYwIY01pXJjZ6Bhu2iP2mrucHOFiahtfvEh7LuvHgCKbLDXeYrfgRf155J+kpX5d5
ltySeXYPfHXkLUD+ebWV5W2B/zgbWKkF853TUqWtLWqjSvA/ScI5VVCai68JKL/Xc1cO6+HMCTuu
IW76u45Tee/KlD1/2SybsDo03zLkhVPI1mcDr1lBxpHuYwcaB4xT6dBE5nnhChWPh0WajHLT2Y6x
UgOl0Znqhg2akdwIsESriqTVexMr58nk8/igKsrzuki26Axz+ehgzYK+QrE0TxooehyqCFK9fRTQ
qlBP0ine+KmTP9Fpn+477bZvdcjZhrGbBT4cZ9BFk0j4G+dGp/p1VphskiKv1WDI1E8b3+yHA2zv
nsoh2Dv8MmsLY+KKMLdDr33Qr4l3YoxOs5IyAjmdFbUgrB/4diAIl7X/ZQzGB3n776gnkgEo5MYH
CnUe9YgcQ5vclGHmkKETcrVLFiIf74KZVTUYn0F3+5LDUq1Vo3uSEUnNdVEikQ65r440s0cvXi30
tDx4KMosg4wQpsEri0VgDi5Fb4YHx8ubn1Y0rCQae+jJ9r428ulYiNFbp6nRN+t2SLDLqDYOHyLE
oSc+XfFbWlTm+2DRz+yC9wO270S7sAzne7coYRsA9mRhOlFW0WameMdl2b6kM/Wrtp/DbU1m0z+q
xqLd0Hej7yCa/U0VinQbuPP0VAdkTgowVDueDhk91Y0+FaMgkDCL3mLdYv45FZOSk0V9NhKmLSsi
EgOx3zwabQDQi2eGXM+ZP+203c93CCvtcVap8ZVGkfsq0rw58DgI7mMHpwlvxcZs3W1mjd0vI6it
YzxYoUnUdnAz0gLxBaLVeOOzmHF5tpsPqFHJTxIJqOYqmp88guPY/5lsKtLlNGUBwkYfBh+S8M8U
PeR5gt/WEWss/HEt+lY/mWOu72y4Dc6d8Iv+1E4mIVHHGDDcM1Ud6lixK6cm5TZJ5TMzurl5CEyV
bSu3xY1iwmT1gsR7Dntp3amq5MphesgzmTXwTeZLV0WadaU/Zy+qyTGLGJilZl1ejdJ48QrjW2Li
fM4ro34sOzvcEfGJl/tr2a/tOH4VRtPfT13kPcsx7R9hPsELTx4GRNWdZSfde1q6+uaYcnw3yCtB
cw+7syxjf915YffOgfLuppm8TsZyExjy9E6mtnUuMi32WaTyWwSXbh06ffqrhwW3qwdLrJu8jxlK
BOcCVipiPaRt1nVltWqN0cM5Zp7m3Wr8+SOP6gZe60R0PpcGNy9dCWOVcSM+J7ETbQpCX4eaDPZG
u+BPowrcaW0vJogCYHAvo+qY0/G84wK4b6TXnaohLGEhm+a7E2Qlpyy/FUGQODcfkFXjcz/DA0Sd
TfhTvXFXViI9gqSQt8qr9TanhnVjqMI/d+SBV0nxe0CZcUeeFhmItD0X5qBZTdKuATQpsQ7hXx1q
F33Y9aMPX6lf+JG+fXTVdcS+Og7N3ehhRqvBcYLYL79TNy1XgbtA/5pslS/kuXSyNyrvL1ETXQav
fB07DpxxpiIsYwVkmJNgQ6y2fFnXnWlv+tgzj1lfPU3aPOANWnuiV7ABiozUBqgA6NPc94aRlZVP
HKbKtVhFlnEgk3SicvLQJdOFhBVwEEKkj4ha9kH7Y7KzW+Is7NapIWaPn3x6gNh3Bt3CV9+L0yeQ
xu6zUzAblnOM6J2X5v5/zqXghsiSHhZCG30ZStlXhl2xm/0o3RPL1S9/euP+b0cm/xvBqUwXpDuB
DFyA/zoNCUDtq21jHX016j8FIv/+w39hqoh/kLmllxzTJUmLJcnxVyJS/GFh9ieAIZAE/5bx+Hv8
A4AVpfULq4omPpPf5a/4h+n9QahhqW/G9whL2ZP/lfiHF/wzK8r12UpbBCzZThHBFP9ks6V/pk/5
37jzmEit3cgCcT3oxJLwbwAqIh3NIHvoC0FfZa89ocd6VYdbZ7SQ91u3pccscK1LQRRwVXZlxWc1
zGvSXV72lMaD8QzJTh2jsexvbl4oHOnw+XYND8e9pltz60mePrrQ6lcvITOsiVn4ig4qulfD0c1e
aZpiTxDSWHeOzMLuaaxz/TWuyOnBhRHLLDE/gYeb1jMFrqxdfIjqubMFXNGclU8KcfRJrO4mYluc
iiOOVXahkzHsC2uo7+JygpcBn1c8hU6cvctxjJ6wtxQbV1jJj5rt63XKFtPjBP33R1QGzieyrYcS
0jVfA7MlpqR0uUwvXCiZucwXZgq2mF7vGzJsdl9h6NkWBq9OYWFiF221NXNFZbNsyBaCI1lzeMLn
K13zhx8DZlquwhgwWRkCFlVu+mNwA8hbaZQFv6LSiF4sQnPscr0gXO6EhmVuYGkWG1jWA2IisqKQ
8biiK9o6JbwBa6QsJBI36c8wC16nuKAGzLPGON3M+BHXWVIgGc5jXWwVplpQiLhhr507JF9xYeff
wgpFsG/6iV1TXfSUeIhg0pc5YDipHG1A9M1n8MdB30aAKAqu2+QyS8xboKivFL0HpzEoqg+lQw2U
hJInsUKlYxzApeyuG6MEApLldoQ51FIHqfnvmLCAenw3gx+s04hGAdrKG3YpZdggxSp6rJAURfer
aopB7SSSwKGLDXSPDkTF2oIav7WqjvU66Y+02mZ8rF9aW1o3qMP2JXQ7/awKVX5FNCqC12iLOji3
ER/FNcCp6medO9OHDlRpbhyqSgmdYpf7xNmAZ3Y2UWD3SVI0T8S0gptNu024mauB3QBByBuWy7pe
+YUyLQQsv3kghDq+atvIGyQkYXzTNuVw3zdNGNxemv/AaA6geQSZsoJ8PDxruNj5Kmpz0FcNlqTp
MCx0MhRAVZzbhGXCwE1kb5A4XkVqGF4XX+6j05Yzqwv821OQ1gfPV/DQ7Qou+0qQ/oLy5Iz1OgT0
/CPiy7X8aJiZK7vJsvogYs3e0O6hMfRO7N4yAxfcyrKzEcYjLJ73JfM5ofuBXw7CnDfQ7zBU7uXk
o0jIGg+PFs3AvY7Qw2HWCnk+dL/DzJo/hghOBzcAmQ/yJyo63gKRJs0PxxvzbG2b9vgx9pjr6k6x
9jf08DwOXXVRvmRF7tjWqWCUhyGGwrbGaoP2OY36bdaerTaRbmlrpEB6lYxtecKU7bYrObkVkI6q
2EHPpDF29MMDTTl7fu95W9YU87K5RleXikkWIXUFQj18DawkXxet9IKFieyuDbPT1mpqcYyuSbJi
G50LMCr2HAtznQ8j3E8rZPFMyLmOv5OuUi+A9NVZpGYabetWwmo3bGt4N/iiUEWNM6RjOqsRSmWC
IBgZrWGi6MLYAwTj1LdqivNpV3QJACSURsouDKgqLRYOdLTO7e7qOp1orylKOF+51u8atBMVf8Wv
NO+TDqWbc7rPMvesAgC1W78zWN/PQf0iWiuhrovua0xcY/9mh1FzkaFSH2bvJYzeDjjUjrUQdJAR
6xDMpVxwQ6pn76cufEoM8vanqGO7gh7dlyceJU4K5SSrf9nsIBb2Z1fPvHjDcMVHF7UMhPjRyGgn
2LUMTcBrbePS8Vf8PeFlsdJXkMKxYEsAsoH+nlgcM1SOy02m4ilj9/kBp2p9wstR3Oe8UuwgKmqP
iBJkabu3tNTqUFIOvrNjtxUHiO2gTRKYQthqMhdUe9rJrONvL2y94aNZ/ybR4J8EWNiNqbXuVv48
cjgFGUYvg68bPUdATLKhrmlD0QzbFZGRB/zP1ish6mWDV6fWRajSekGIrN9pEfRPCKDwzJXXLhvI
KpL3FV1o9y5VcC81Lnde7sTl44O1K5O7qTJT7sxxf6UEwV1i2Hb0SrJf5FDePPM3U7Ppn/kNqUNw
UfLgEfuT/9FSS1LygLKAJLbY9A4h8RUOhsHh8hd7zQVlMbnjim3tCOtwRYUV6KxHo5nnVYaHQAG0
ysydUZfxJZlC7w16zbDCtpvfp0kg1gTdaVgBsHYj9ERfymyat4QTaW2Wqn7tIpG+VIGsNuZEw4Dw
5HNb9fYtpQd406WJPNROLp5r2MjfVkLBJER9C9lBlvKIW9oz1oompOdcRN7NK+PnEhj2LWShuYGE
tShHEHxvRmJRY2VTk7XGP4IewPNuVtvFAMogwsum1pOX2GQFM7Z5fBIyWX3FfhHuRkQjZ9d7aYdZ
qxwOcF29YxtxdSAxMf/MGDDxJtRJw6KmVPclvTgXsqbethrc+DNum4+8iuil6IJxH8agePAoII93
3P8BFqSP+CiKvVE788HpVbGrjQHsrO9b+JxYr2/g00qGQ62t5uqx6fvMVI/p20c987eoqQx0RSOI
jkcVh4uWvn3Es9I+1/NQYpJq1DWAWLRtAfTynYsSSltKVA6BtXIP1BrJCM/Zs8Oj5QHrMcAs2HnQ
4RVeNpotBv01YzC6+hq3EP5LrRBmQ3UXMck/CbuDO9oB91m1keNdRNS7T9JRGF4x/pr7QUtrz3LU
v2PXFLXnQoeCWgMqN65uQilYNQXhRzel6WNLtOV3U2fS46nMVQLuZeXIrVmn7cD/g8Fy7URdkbGV
o/h35Uje4hUSakjlWcvci9A/0RJElxZzVXVLKzqdISl5dbyS2pRfLsYFd9MmkXp1ba2a3RD4pUFv
ZqPOdpTMG+0MYbiXCt8V1ttuGo4BHd3loZ0S9w2nk/VS5HH/6C1m2jbNzfvBUsgfraOp9ejwVx/c
wov2MHzbj2hKy4eG+kHcOlFHY3Et6rOrsFuv5ihPkPDldGncGkcD6JrugQvsUK/QRNW7MltcMdnQ
L90LqZLPIhnrN2mxjww0zCRgr+CXOjdiV+PYNkvhuuEdbZoYe8iUe79K24YbQPvvdGf0YXEKqkLs
m5klFxvY1thi9Yd+BY+LKEFjT1+tgvC3Bg1ibO2p6n8koOAJskiWcUOqgkPSzQNBjhah7s+/JdNz
gXO47j+CHm0haa3VANn5jS+ntJm3i+rmDzlcszp/QTR7zFQOJR8c3iWgqoLvbGjzAcQ7ti9yJwAZ
O1XtpiAwBMUqdIO3ysRsznJliFK4PHSYoeL48hV5or4EdEo+BmXpPva5W10ZXrIL9TXZu+FjPl27
9MD8TKdZATkzaFAciTvdjb7bs9LJ2vHTjycxncpR9tMhJTmTnlRh0TtIrnM6tLC3foZZ1OzDQgDN
KgySosgpXlWurMYP7ggWzQdWwf63YWr3O4rCBgoR6EJIgrPwm42b814jp8vY2lvE3F76QFvIMlny
Phtw0kSQh3LXT2XAs02Rv0M1ffQmK8M/3s23OZYtms7y8GX9vBSnAgTshyh8nNSkf4ylr68eVNZn
NnVns0YGg73Vu1+qjGsS0Lav5JZYB0s0y50gc84Wa9jUGzZigb2uVDzVvM+ZE3QreIYpy4sumY9j
X7Nf0cS8EmgqlvMuIrMeV8AOsXiKuBlWtRDVT9uo28NQNvG1ZJ2K12+o35pgVr907QSHrEjN194U
07wewbcc0aF1uzMpRIjXedFGRyOAr3tMi1ocLC8eYQySBlnBGWs/0ebRzMem7S6xknm1T10fc1Vq
6uTCSBAf3GawFhh4na5a2GL42xT30GkByKkOa9qG6NeMZzh0QOJR8sRbh3HjlOcJbP2eMg7ExdBk
lb9QihF8lhdYdoQuBJRRnKoGXhLDtB4jPpmHwXSLH345k9NiygYD3sk8Q7qWxpPomu6WZ2bzRm/7
dEwx1nJV5YG/diRAx8rUDv+mF1wxDKs8azFVlzKIwB3EBEXCdZmVyVdeZo06WBgW760SkB743Mqz
+T4gzXVB/rsh/iL5uuT7gfLBm9HEmBimrCvZFTsObmlaUVbMleKZfSTWHisB6ebjISG90bnpOYFq
Q6tWL/VJx9TMbJA77WlFP2R10G0tWJ8VscFoqkB/AKKDj9q0mreGa7zIg+ncO0NzankifbE0JotV
0IPCXhOuEyULppchWbVt2K8sBzD+TOPCggFyVb9qEo9KEpG6W0p51VlbFIo2aT//ygn37uZxzNvl
Gsle3+sUWfjMTeMjVk/9PUZpeY2alJPEQGV9qOFHvOTOMlOAUcroqOcpjs5sNvd2Z2Jyc9vwYAl6
QEiP6WNB6VxND2c+vtqWa9GSlLglSOU+/GxBF9dr+H7Zla4nZGFJ8UT05uEa4wLoDZB8/p/IVP+y
wvDnPxYd/ncSs6SzoC/+tZB1+Gqmr+I/Q73+9jN/4UuoLQw8ITzPMdkL/kPX4QI2cSVkORKxxGJt
gOn/gS+R4g+WY677N4HK/pPA/h/4Eu8PYCgoWzhpxJ9s9n8CeP3vgF7o8/8UkWUDGEiis560hR94
C6zlH1PAKR3FVpqqAiei4d+Tph08aoiX/cbMKjFC0P9w/Co7FthGGeNrhBVnJLki0hpSZG8Fx4Ss
11PAE73YMA0Fr2Xny3drKLy7eRb2S+yE+oqCLnEryuQHparyjtjdyKe7iQ5u7ngCtCiJ2GVfav9K
KRUHF13jcXYzYT3jsiASExt58Rvfh3VtKEF+tjJzYLsomG0pWrrpWqabjkI7VC8IEFHlRyu2nslr
7js4H3mEvtLGkVxBj+1iavdwybH8wlxHiUFP7DlJWsGuiEiuk/qwbhPKm8rMh0oWOVzuOXSjO8zU
cGI1iVMbxtlG1l26lYhNT1yCMReNSXvX4RDdBKG/8RUhNVy44mJzZbni8zVOYyZsdtqqv7NZsC5X
7vSpb0V7xc0zbxPPLe5qy9bHKNMmN5m6f8wKmjYIg2KayAhcpZ1zFwJ/uHPrsd/XXLk/TLwKqHas
aCLPsrcGNLb7LJPNwVk6Wpi8wXl17fyFIRELW5xUO07qjqXxsp+YvWwbNi1NcqB1XsK0+l0UbUV2
uG3qeD2CmfoQ7Ri9tn00vE8q1M9B2IXfUBgQzDmYqx5LJJyN9USaIz66oiPlx/NALEYmLkI2lTas
lGdv/EymerB3KdejW+ETiosxoZ/pnB23TQUIgZacGUN+2QXBZiL0hblnwR6uDTvD7YdWWlxwBea/
zWl0DmFvQgMWpcnxjh3sQioQGvPo1E94nbONXZPDwjb3exqT4gE+ZnkyRlde0yyKNrlRtG9j4kZb
7Qfdm9cn8SuXbWBotfGIKFidk36wfhMmcVa5SCw0wK7u0EaA4D6AQv2llP9Jd3J4rZoZ9M7ohWcy
xc6mG4qlKCwpCbyGILtoNSJTde2BOjyqkmhrPOvpRAGwd09Ybk8K92VUhcle3Iv6Sw84+KvR3XyY
MEEfothXl4Vxhiiaba1oDA/lwhODmibdh+Vyfz+0w8R+yB1PdaScDyjbrr9N5954J0oVv0ZVlh6L
dBg+ySyIryEEs6cU2ZlS+/55kLXexAG2cNd5iEezfpT9UlbcZf1XIuv61Rml2jdlJz+qvoqOc9eD
4J5ArpurEkPf1c5lrMAZ1NVdpKl4XtnShtShWM/NXlPdO2NM3ZNfVW8hVm1axnPRQQq02I8LNtm7
hE4B8nVTQuGbbT6SyDEj4Ae5vKcTloqRUWEqUiJHPuotc3hlpPROJBInnG1GecWvR91mm1j38czF
sSo6c8tVvznp3iOw5dNJFq/dqnKvKb580KAZdU1h2pjfvju13zDq6iv7yLHZkNTgYuVYfbbtuX7W
m0LrBvuVK4aXGOJZvTfxE2dripNSbxNMIApyZiYWZTJxzrVcmmy6oneuVuF12zJjS9SFNedgCdXO
2VR24fvrIsFlgizG+nD2DP+uhbVPLIOj+IO9whyvEOnhkqcOaZvVNEdooczeDPFNzOoB3/agLi2G
zXdpqyinkijqHkajL37hSHRHrL+R9WnjmnJWlAmoDy7Ty7AiU5JdHhYBsu4ZWa8PjLGMm4rk0Aub
E4c4tTm81wJN6wRkWmLIN8rpaJDhLvYop9JcU6lmoNcTEiYYXXnvHeKJvw0yH6PT0r4ky2k5tNkj
cDBSZBjTkVGMu87qp27vWwKlobAC48NVI1oMdgwDj4WpRyhshPrFIcZzgjEXz+TdkBFC30IEAn0E
eoHLtjaGpNlPtB7SjWs55ROuEpbQA14oktxho38IJj/mE3w66kyswGqfKiWMs9fM+a7Lq7ZZbmMU
gCZ1Pj0JmtapC7fS7iNuIpewfIx/YjV0A9TkVOMVSzsD6VNoJ0yRScyEdJ8k4mghQpzot3OPptmy
19ZsBn43hlu8MSxodth6ytZgA6ip4+6cPcYpuPhuCPQ1C+zfZKcaAkvBoz2OiFCzE7H4GLPS3aFa
BafO6cbPicA/fqWudz/tThD6XdoLj8KN8JjE8DL2ESLjY4gp2L9FaUgKYLJzE4GOVOkuSJaO9MYj
SJJmQPbwyU8w3+kmSl6wtI5nSOXRq7BjogodPOlNZQrUq4HJ4xtbcbeSwTC2BDYgjyhASVcj7TW7
GcLizarNO+doGBnf+4YvwntF/97z1HIXZwoGTJGbBR/AEpgJ7QgA8fch9IYXqjPUNc0dM9qkhkji
beEWyTueI35nqMr5CZHCLjbzzAZ9palYPIEtqt9ApOf2MfaSCYOmlw9AeAIJNr8RGkBDwRtnyAzj
vyE0v6DTR9mv2ugZQcY6me8Ko+cb08INemNr3J05Q80vYbbT2yB8/5gVNrNR6M0JZ28h2bjxR+Nu
LcfuI+DnH3RP8RS6UID3znGMD8C649mafG7r1JF/m/3ooG8VwWs0j0QdqiB7sOUY6c0wOizUWplf
ZQbVZtmvDN8cuu19EtoMNJS9ta99b0/wDGJZfoJor44BndgJ39FKPjkxKdEVp6LxgxDvRDQdtxq5
XCLeNtken6tC0LXZV4yzt9obfc+aIWnZUKySuGzqfYIl4b3NG0reClF8ewoTyxu7PQTYZhq8xwSt
PFqgJrySfTJ3RAHK9BYoCPW8XK6l1zbx/XPY5pJoZqIehlbhddV0p2+aId7Abc1+8F7RKzWPfvU6
6JanQI81lbXN/Jg2arFVy5LdS1Qvxg/kqfLB8FJK4azaEK9VQoxiDcPfu/Q4//ER46uCbRY3QXeh
z4YOthTNp92EymlJTCAY8VS0Fvx1qsL30IXFniPxMGtmvKoEA6vXTo/uQzvEAaGbmPedEgF9MykK
vc6j4EQF5awfOzOrHgcfbwtWNfaXbmP6fOMpyiEOPrkXtFtZr22ecHwynMk7GEln7szShGQu+xSY
+ixabrTmgnjF4XTv0itm4jMtLGRDTA0GqR/wy64Wd24z8ooEWVpfhBh5hSq7ilFUIv8rBX3/kxmT
XysKkhbBehx4fdUEPdv2op/0cGUHF9rra4wDd6/m2uDwa627dJbJNZscoDCAYuZ9MiTOgSctVrDc
NRGP8kRMHqF/HVxC9mTn0W4xh7GLaQkUxkp/IvWDccgKLX9nVZB/h10iT05oRD/w/k44YzVGKxo/
71gVieOEr/T/D43/Z/VcmLsDcEr/emg8fbFI/7f/8ZVX//5v5y+NUNj8JxPE337+rwHS/cPzhYRt
JU3bduTf+Zee/INJ0LF9T0A6sl0f78FfBgjp/GFCS8cSKz0voC6Bue+vAVJaf1hAJE2f1SCbaGwQ
/xUDhP0nGu3vkCW24+TUXPaIC1LtH/hRUNkjs6Pce08qCBOYEbK+VAKmj+ri/q6yU7fcBrgt2SgZ
g5pXnbbTLU/7+jyNfXgso6jeTQodk/Wu2ohp9DbYJ8dDxmmyNdqQy04FCZdOdsfsN6Em4zWExK3r
sp2OueXJVcbX6G0MMnizLQ8wXYtlqdXU9yaU4bcIzD+DVUmbnTkgXYGNOAdREByLGfyrpKF0i52i
OaF9wwIkIf3lw3U5ezHjzIaUDIQSTXhh4yc20l2e5gicPUQaVh+ac0QmTyWRUrnyfNO/kF/iesvF
tf2OPF8DDzF667ktDMgNMIinc1338Xki4gzeif6OENrTflL2LxtD69r18WOtmE7IxKYWpTqhVdmk
OtzwJ0GZnocl/jTwAqAYdDF/8JBOtrSFyIMZps4p9dRE3AYR4qwjTZ8k60FdbhnIoB2YTNjXorG7
lbIW/QzY9tmhs++HzbywavEKbPwI33gCSGkTsOn7LpMiffOcqXqjq6s7COLt755K8VwKB0pCnEse
90uhObyPuPnZyS48SYDC1l55WJFZkVJlOZDLRl3G1PtsGLk3Xknlh/xcl4FcMuf5kDHnR5zpRnN2
6T/8Mqo4ddiY44s28rZleUWzGcwq/pS4UqDwO0nKkeu5cShmaW15lpibGc71hsgBWC7XwngWxZ31
CNog/10PvAsbq5HVaxozsa98jJvRi5YDJP28t7iCzy58UOynOc8uO/Wj+5yQ4THIa3VzrNwCwNGE
ire7HLDMGk3JXbdT0y2MwnGlG0Yzmz/SujX8il9dMjKFOOxKNsVU45T3cBdgWqFnEgod19+C/8pR
2QYFIcoMf0+Vy+9EpNxh9DBJQK5NPipqG2JMfvRcHX4FghzYitOaf4ymRUlKTEenCiaaUWQNMTOM
2yUwUzYPpWURe52Dyox33cw912KseIztLPqNfKHWI/HW7WTF3KyckmT0KmvQpFfVMGu5Cvys6w6J
b4hfoWNMXzMLzBfJfxa0iGHK3yLgzk3A2SkBCBAIGxZHCAsqGWsQS1WfgcWC6+DLTZbaFXE/Qq7l
hvIf+xA4eR/uLMPz7ZuKKanc2H0TEc1NRlcBs+ggejJNOE9Uu6aYfCuDHhi2ToW1TUwaU1Z4XsX3
MNVonm1sCi6kc0TbegRtg3tg6JzMyaNeClhG8JiN40+UU/s4mVi07WLODkJk7SP8qOqC2RGvjlnb
N16UwF7jxh5fRyOJvmgAjI+526THagrxW1qo4iQG2uCetL71lFU65+86kxLAswAanRcza8/cioZy
40xN3JPToWhtOzRzdwiUET0F+GY2Vl8F340FBWAztgZPfS9WP8gIDT8ivGI7lxTD3VxFwy0uICq0
k5PfkmDxrke4eeBdmpP9CbVL0jboSXAJOeW5l4w3iZm1jD75Q/IDZk1x04nJbdYOPrkiY9MpKvcy
9xllQx3gx7j3s0s7SefTtyPy9gWAg5Wnk7pYt/D+tpXH2cPNMu2pNTIZ5nr8dkeGv/LEiA/f3veW
d631rPBCZcR4mNzY36oGF+yWOFh4wdKfUTxniDqjRNvT1TJsg2io7ODFlRRtcVkPHss5e5iKYlhH
44g4bfvFzjH8qViNTlc9uw5sgbzKMKfYdvyztJTNYDRjluk7sZc2978+kSSBNAZeMCLpwYqx+2eO
GrZOXQ8bvurNFn6FXBUTY3rd0ijsRqP9wWYumyD+2A1sHK5G6ZTFdwbn3jUXrnkfaKPZKCfsN6Js
9KPDOX+roz7ECFJihe67lIa4Qdk3t7PTZ1Mb6tuknVuh7KWw7rEDnud8TA44EONDVzgY4qigOVWB
4p5Ggwsp0lGPcE0oibtGxFnAd8kBC5wR6EOS5vEjdQfJkfnrIZjxv284LdHpGOmsD57b2LSalJCt
40zuwyy4WoNqGGrYAyI/+ay8i3uq8cbXZCzVb8hP0SPXu/DZqpAn+XYMwY8IGyLukca+M7lnfw20
Jb11cUJjmpj9NYprfiDIhZoXFCYRbBdQ5IqKHe8hHyVUlGamDVHOw6VvDBvVUXkWvUtmeIoigDEs
vdkjEyXcRWqWx9boKdFzzLbdEQbKHh1P59s4DpVJyFE138JBM7qzWKR8kYTH+NYiUVosVUqHhoVx
vFAaH62jaWHuc32/zH7ef1gEQwknC+YHnmJ7QCDlcsb7qgIAHIKIN23I7XDK7mafnAlHYG19y74s
uNFy/DLXl6RsfIwcdefrn+Hsl6v/xd6Z7caOZFn2VxL93AxwNJIP1UD7QB/lcs3DC6E7iPNoNE5f
34uKyMqIqMxKJFBodAH9mHlDupJfd+OxffZe25hLM+ihEhxnb1Y/C48juTJk/9BSNwCpx8abZtGv
dIyaKPugL4m6p9I3o9uIpA/yS94mQeOQgI1aYRHWZVGNwdtVJ1L2xqkv9GHjayRCaytNdpNdcdJp
fM0BsmF2rppwvKaE8iE66Asf22t4NbvmKRzKdl3wOKG1gbB6NlbyfnDaOUC7dh/Bw/VXcCEWNZQT
z2vQ7CdPE5dYN8qD7DWbYUCyoHVT4Z59nqvfvmbT/2qL8j/c/Sx/0fcKc3USxd3/GwW6bFssGOr/
eELfJ8XHd/pa/nJtP378lH/0KP/6xb+N5/4vdAOR5jR9E1i6/bfGFtdh88PCB0nFsg33awb/63hu
LdZlw9Jd6PGmyabnb+M5tbyuKzzf4kLpfv3Rv7DgoTnmTwse3WV2pU8It7PJ3YFp/w9juglPsR7Y
O+9wrdI17EoCldLXENa1qfnOnZEhWY/956FxvJ3QhmJVcK5s3CEND6ZozB8IbeUeWcjcVGZ3qwq/
2NlFl77nbeYGFbhIk3Bo1nxvOh0jlAQVmA9TdNEIad57PBKDSpVs6Q0WJT8g/wIyiaV7X2tOMmxj
vbaxJlSFvSIWQWOYVgSTr24wmeYnoL8G0rroDs0cHSh3t9EPSz1Iav9WV0mzryGyvYqo8X9kGigC
NO4p3NEtqwKrhOOLMTcff0T4p96VE6ojPmwSzGLsdmRN4r1j+9NuMum75ZQmc2rmN+SXvVsrDwfG
pbQCGkqDaMP2eTU0NoIll53rADyOzPbIwVZYYtrhqwZzModJ/dTPVfUzaRJxA5bAApOnHmep+3h3
pHe1XLgW7Jb7hFe1ClFbkorwNOwuCLxhLJF+Jpo0dt5EDgqXXfYq1aQfWTF1xzIzv0NCgz8Kogwv
AeGQhPGW6aSOD9YkXVDfs04la+Ym32J31F7MMPJOTSLtc+TJ8Fs9InOsRulonz2xkpsC0fG1Qju6
4R+c3xMmzSpkKogc3b4MLOzKjQtgcj0hzW1D3fsc7QxDt+BmR0FMX3Do1pSvoWyQ5ge/SppJsfsx
Q1wKwuaF0miyK8w0oAvS38Se0l/7iKrxRuCV9R3yOrXKjGUxJve1CZqKxzO/emS67FqIFvfkkiiB
HKyUNHn47CGC4yM2ikebkY7nIA/Dbo6tt5EtyV6Z0Fh62y1ukzxPGUe8eFgJvNQAQIdi44ZyO2Tu
UpdFmzRQvp+UH4doq2XtXAyjTw+q8Vb8owPe7fTiPFSz/4MJJnoae4P49WAVz9No5kcvDgXcOJwe
q3H0G3ZSsOeHWjfv2D/qJeE1zd6Iym6LlU2C9Ye05S1PD0Z7CJ0BpmXzMltTEaSDGC9o4oq0NuMm
BGA/f8q5xDebUdDdrBW8Zn5qQAVqS/U+ExM8aZ5X36Nqu6eZ0vdgGvR2ZY3pj8aWK4FWu6sn133O
6hFsZ4Fs3ZK6dtop3QxOFgNJSMonQIT+Jea365a76YyhZmAB1cRpdOkqPbpaM0kcjM0WAw619QA1
hlbfcWHquYXoBLSmFGhO4ZTfvTmTPhZVrdlrTmsH3Mm8LTST66yq79IYjx6BiDUjyMaE/xW0QEGL
3qr3XkOnJV61x7jRNkQRTLDvKT3QtBz9M+D0f2jw5tQzdZtz2nAMn0N4WXv/TpwI3dQdKslxgNxP
9zMxullf1TWZbt6OJTcCGhKIHptbS5av+ZhbMc7mFoDgbCQW3utSnbq5Hz7DIsYZHJf5ySeZVazB
mPEYj6zyFSN0G0gXKu9WWLFdbLuuhQaGhpvdcwXm85x9fbatWFr2oeRzIQ5yORcGZ1ITAGcLSpGy
tez9d4+pv9M04dp/xssblunbPHkg7NuCh8+fTvxJ61j1Z5G+MxyuI9QeuUVmPYBaemeWSldGhdvT
we13dlvlYlPj3zjw+pGYbtNCMsSq4rRcZucYl9g0hyMis0MFUJr3P9Fyo8e4GKeD2wz7ZTZvrLkZ
16Zq3z2MURUNhOTY5NHMTY+MZvK9aUas67NRXEeoHQcsDQ1UqlwdST/ER7MpCnstM3AjMEKtQ9m3
lsDerneUJpECCYcs3fSiJxznj8VVuYP/TvdX+T71eh8QgSy/mYWlLtilmwsON+C2w8LD6Ab3lTt7
eBCFFV6nxd7I/3QDbmnJK2iX+Dj2w7zx/c7jZi2cHY75eVcJYNC44acD7EbIdWB/QsAUZvRAbBIj
6DBH9PjKeMAikMVBZvvGbvERBxkP2W1uZQpbFWfktpVh+9yZDsESy6+fEeH9TcMS4lMA5gEvRIO4
AsoNU8NJT6xVSOFilneetc4xb/3Z0x4siTUMyxBghxn/8k94XOOzoAX62XGr8kpZc3slG9wfdaiy
e4TD+Bw2ervHW3AoWm/T9bG3QRzo1g1qVLdylcEKexiGu3EJPPZDqcCW5Uayi218E1isYClMTfug
oH+vWQsiRVeGSccEd4oqtBmkQ9KadInRIjo7A5xv6I7v3ASHG+SY7jy3XQw8T46nMvLEufAyK0Da
Ts4oSeySWtezQJVgoF5FBIDXetuDHibZeMumD0ohtpNmNxq4FZ1C5Bv6MkBrgk3d+v2cXRUtrjcC
xQtGQMm6JLLqIxZI/y5eThGYAIwr7kEjEduCnJjM+AF9atUMmM20aLoZJenEFOfXOuUxsZ44quRy
ZkWC0wvVo9lbkRHfFXgZP8G2ljTgctblLVHroeXS0yfdqsRfuKPHi4MR0zKHJCeFvVHLydkuZyg4
F84ZcvQzB0GMVQ6YnX+ZlpN3XM7g1rTHYzlUnLk1oO7XMqRx1BwmTnSjau57t6lOM3yHd4f186bK
XZf1GQGn4uvBkC7PCHd5Whg5COdVtjxDuKAkgPRZ4SZr1DseQbpfY2Lxtalju2807uOkV84tLDU7
xCPPc42ttgUWDF3C2UmcnUetr+tALs9J1WIVTr+eoGUded8GUjY8KnhPQ9Uyk/pU50XPGdoVzb4K
6fwOYxomoKQuj/RZx0oXTUvfe+kkfWAUjYskJfkncr+mBvpTy43GJDEvI4X3NVxkJKTwlbsOt3Dm
DsyYq9CPG8yucYdPNve8baip8YQzsd4ALR4PoVOiEKGl7WpGnw309PSQKmXCJ/Bw4Bo92k6Jp31c
djHZjWPK9GBBTL9Jo8J8iSthXzrpePflZJCgbYnZBJhh/J/NjJA3snX/jsewvyZySp40lXYPIete
SRGdWlzxsbbR4PmNm4KFKusglLEVixbrIjRL7VutyUBt8KWcG6ZAAjRN51pMdUxxbF1cOtUTRKkR
K76Nbf+q41DY+Nw+WT1buhMUoWcQYurjRy6f3jbl1nDAGk74PQbq9hj5bJpXtcQ4TkBNuzozAQFX
jPZDkVbiCircWRO04v1RJNUjSQCUnkpv84OlJWlHg12M7hf3XsqDt1ZrkKSpvBF1STcjBX57Bkv9
2+jP6jvEvcVkPcPKYiCNrGAYZoe8GftoIk8GL+OEx2SXpbziCBwigQpTsxFuPe3oNz2UjHQcjwQX
AJrbLPk2dQPbIok0/c2AWj+TQnoED1ysx0rLacALkyOKoxx50TxxB0M2e08tQR5MRzJYWW3RfYvY
9r7XCqyB7to5OP8MN7sIv+HhBbVSmM62o9jnZKK8QF10u5xHuZ7cafQ3rkorXyALeHbQ7CdhXxN+
jTCjjtsR6dqranBK6UxET8Od0NFQv+JMtLRNraeUzydds3UsU3+tZGZDwpDqBh1j4HXA7zEAf+CL
3RkOEvL4Cuprs/UY2LcYqKjX88WR9MxngRID2dWCol3kXJDCqjy4lAfwaR8Yysu0ie7x5kw7Th4G
6zDTkXQSMlRV8Wws2rvdGGrfq7x+GRwnfWER0v7MvtR68AL7vqNxy9efLZFj7YZ3IQ6OXd0QHbxN
2Sgx9I8gw8dRbDOPZwUfq6/dQD/Cf4d0JGg4Yll58AQVefqyTWDrjs7Q1enWaAnxQcqrYc6wfxgH
jWDKspMw28TeRcIDzupWy1g/l6wvyGdjkmaloVQc7jClaoEwYEImbZGcaPuLphP1M9W9WDYjrApY
kiTLvqTPsOqtrUx65/JrodIvu5Xya80yDyhg6bJ7Ib9SY0piH+N/rWa00BEwOZeNDRac5CNftjih
W7dHc9nspIQ6VmOfh4dBeempXDZAHr8oemCqId1zHbnNhIz3JRTl7bDskOpwHrk4WdaqAbx7GMHn
7RKHv3/Uc/e1YBJMtuE8+TfQYKfAIaITWIZy34mvGTuzTwBceVqmVjR88qltJx2hvozTblVX8pDm
8g3/3M3s6p9Lsx6qf2h8dL3m3uKp5PFYP0o4AizNUVDuzaid8EknyfwjxfW1ArPwXHQlQzU9ERvQ
ysZm6Nth5+mNXE2xNe50Jdj6YjJ8JkMKfzacOIqbtm85kvpuE9lmfVe7IWsNHiW8v0kDd4/IE/Oj
qBVMrEynhtJwnbOexTj7Kn7na15W5k3KlX2lhZG4weRl3qkh6QDjYD8udxjytQfaeKwrscnhExx+
KBegTT3CSIzmWNxqYrL3bZIxFmnlTcH+3dYbGHQSdhPs7nQnEkWeZjS5Y4xS2xTOj4mYSQoPjzAc
9CKU7MGHpVTjGuwGjB4MhKfO7C+Orl697L2a72lSwYDDzr0pzfQzdaJLlhVg7yj2unOdsHnj/cXD
C+vX7TC7FC7EZf2q98QP2D6hQsDl09od1bnqbXbk8CQK33qD9+G8CKxe644w0UFiZDnyJIjPIgeQ
SZW2QUg7L9jwUKpAUPjQtURVUPlhHY4qvsNrKe4nPZzesfTPKw2Q7aGdbSi0KZxWt8ycfO+x+ph5
nrrjK8qtWGOcMKx1tUR4I9spDjmxhq3NqgGLJwRpurIoqtMIkE65awcjAbq9XTlcZGMm2SmHi9Qn
xrhnhmRTaldESMhT04vqsBU42M3CWMuVvc1MI36CWpbserNz1tgwmr1nt/4eTElMgDAhvpAsODt+
BpNlC9HGHrD/a9NPi8dxpCmsTIr7qOQQhc2kzUG/PHA9EWOXM7KnnNjLMbPhv2RhzUCWxXMA7Jc7
P+7oRx+rxnZWNTh+zgzSK1Neb50E+OS6yyn/XFOHxicwK3UO7Jk8yFogWa/4Uap15xd8Rd9ht5/g
YD9PZUI6Ejvq9zoqrX3M/mlHiRp5xY76W00lxb40WTJ2ZUk7sZellI1VnGbD0LCLyBziZxkGTiMM
b0qcRUj73xyEmTTTD1HFV8QhWXvsYGY2Wlvib/hsPHsdu4O+zVlQHFH46NZo/Xvu5WvTB6ubmQVr
PaGFxU2cmWS1h94FTKTN22R0SOeaEIhWrZflBOsdl5cgNA5DWxk/8FjCBTBl+RmHw0hAma2UZ03a
uqF7hcKLEB9rWaYZ3TxV9kbrBKQN8pThva31/k3JoH3lrtKd7MRRB30SKEs4L8kWaXa/7qKkfiuE
RdS2zqtTytaB+1+d7mvMUXuy7vmOxVxzLq1S7mUyrOuRUXIkxcY+1p+xLabGjk+Y9dRxXbt2WhoD
w2PpkhRoHzEGZUOPAHwt7ROmcxzlfvJ4PVXpQ8ZVa6x93r1Z9j4WFjd9pojXPjTURJ/dRHqsITXn
EA7pNbLEoH4NLSAnRz+rv3MXNv/eVZismIefUwfN7f8JzkDFixmG7Ph22jTJrWOncE0J8iWrxoEV
BoGe+6+Vj9FjJEqydy0GsGoTx7V2h9t9+gafpW63ue3EWzDdM+6fRa9E07GgcLKhpfYlnm2Nxdqi
cOpCAU7yRgTCCeTwEb6/TUUUN0Tt1+qu/2pB/r9TzEL8ygxBp/nHmvwx/uC4+Ch//MEr87ev/FWQ
99xffAfVncePv+jxiyvmN2AIfhkLVcjGuvmVnPirW8Z0fjE9arxQisiQgjH8mxxvGr/4TOo+CQmH
5jfsMv+KW8Y1/izHC9/y6KbwdL6d7RD/+KMwpeMrj0JtwjVj2HO7zpUOnAYBHwFK4gfl7u2E4oXo
n56DyBNMCrXM8CxEUxsZG5Ky9hIhbPqHgRUf5hOncwJOzuLGG9USTIu7+4oQMImmiicTwXRio+w9
9zFFQCd+oGJT2AR9Bx8+xc3keMN4FlwUTjWwxoQyIRXxsUDQSjbLVRDaiOtK9vFoQffgcJ1pxQoK
7xjQb0wYYwMOb1e5bACZhLHUAqx00IhxEnKw+DTgsDgI0/teOc0eM6xLZcJYvjq0rPprFRrwJ2Rm
rDME2SWraKlHlwaFYQ2Gmta8gdaD3YD1mLlnoESUCbuwAnxQPfgTq3GrgCJSu4LeFyaXpDMwtmZx
YxebyK1nmP5ZaOHlZb+KWRJJ0t2nLhuZvQ29viT6YCfuQqrEwsrlSHuHGeL7lONMybkKybM1hUrO
EpFRX7VV5SanEdr/vPHyqStpN3VbAV6DKjXckKH3Gg2Vesux7mDBVV3105w16zO2XU3DFV3XULoS
dIiBFe6qc1iS4IbysaQ6bGv3hmYOV23W+ju6vIvvVhFjJcrwbeZbghPaq2xstn5QS4Fm2WCXrprp
hPXGtKOc1K3s52gdVn3+WFl5D/uaUEm7ttnLVGQiPeNT1IgHgCGM/G12OysMFM5FJsTFDZskbWKt
47qF8Jm6iyNIhZp/Mmg9CYwagojZyoWsoNXsH9t2z2W6uY9TT780hCQ0YGlpMbCLd4gfOOA/ddmN
F519vVqTyTTXVe1mR40S+C29xZT2jDVP58RD3J+nctp1dlMFlWNMQRxldHVNFIXpUenvJYUdz2Nd
JS82477EgeENpIQ8jzm8mx+MahyvZYQPy+5I/2ZcxW9TnvDbPMP7b9fcxLF/+oHie+1c1vBUyBFE
l7LzSDyW+sK9MLfD3EKtBt16o6mINoWwDY+4vKu9WcR+UFqi3Dl6XDy3XMOga1tYGsjQAyhi4+vT
xtKfenydWGiKZFq1JMvv/R6uaxLzmw5K9zaJl8hTgztuE3bJ9MSUQtOGUuPR6ii9it25Xze64F4v
JrQmo7B5/XmoR1dE7fnOMnsS8mU63vJet3ZUubn1Joam/ukhTN4xDpqbVDnGwxwN87MG1HufuwvV
dkgbxgxrrMtnhl3zxa5SXFAgLT+JJ6bPLoRwBgy1t4EX3qZ6yBNfZp24TmbRvDVUYdyV5DI+Bj9k
BdSYrv9gJgoAapwn+jrFFM6ky5mSrUaEzS1I+BmZU5gfw4wzmee5tJ9Ms4lu7T7PMBH3xbcxSt1b
D2n3PY01uY0LJ4yQdWV/b3kucJEaanxCgPSHK0OfhipyCRCFNWe6TV2cPMTq0/qTPZHxvLwRHq3Z
nT+Zw4Z64w16/jQ3uns3FeNCSND61RhjiF4Txxv4PUlLgtH0jDfLQsABEz2WXCHzPLxQ06yOE2fE
fTgm0c+CO3zF3micXjK/ZM0kOZr3lliczBgrrM+srQhES9+if1hmJj2C+CbMtVIJE3ruRPdtEZUf
SIp8+ulkAIxMbu6qE1wwwcYygraGN54dM+qANcxLnUndAR2kjQqhhOoI02OpQ6KTCbGdiH3abE8o
QbHbI7s98H1t3mJ5Kw1yQlRsOc22nGJ19QwrH3AN8iGpcWnSO9OZ8p5lJi2VFUmaFVh++ZCmsHSF
gJWrUzV3QiwI76Pctt9CONhHiiPDd22QD3pdjGcCJnhpavI5d9yus2JfDfB1wRaZqAdWpA7Z2NJM
amiTSShiss4i87qbvMlinJ7Cj+kqGP2LbwKN4nzQ4MNWuT3fDQL7Ct6dDlVNT/LHmN64dzPVhm3f
R+4JWq4OnDYdjonti3MOg+qYZKpgP6EI0GTZ6N8W5QSAuRqxPKatBmZL9eiBuT4kGgyITmgoNg1d
UoPwmxs+CuaTQOy4Y/MIlLHrxREmQ/ExUtfwAQ1C7bDS8DMPltX+wLjiQsNIzMfewOM02xSJewyu
IOza+jutRsOHX6cz9hPL6dhsaHSnUjkwtHvBZEjJTZcjLBnlZyix7ayWaWMPVIBQfGNp08Z08ER2
4Vid0wFhvMLmvuonLDErd3CqoINCf4jjPsM5b2sgnXSvqINkzHjeerXfXPyY42XVGE6Bx3bohw/C
ENgQY1i193E3qU+rpxjg1sggy/K+szOWFYVb3oSJnYLEAXDdklxaBl7Z3pWVW/hrWVExBZbbtdcZ
5hGImwqCtehFdpFyJDMQF9UxRv8gnGKl5g8yGVzJQL0OMAItKzn5zjT4gWn2+pNw8+SZZ3aWrNuk
Js7i+lX/TuOJc8pzr975wvGf/BiUvMHOCXdaBX1ynZlqIc+yuj4kvSwfIWYu9t5Opidc8Lp9iqmS
fwFnKMYNNItDIoXgXiPL6tjLoTl13BrvR90zj7YfZwHCGLtWDx7ojBvsOpeSF8Tn0F00we7F8RtK
naHEvuhDK3Y5TKyDnD1C2LNX3vthY7MPs0zqPIUUL53ZxgQHBotxiNSOEx4AWImbJI6TSx422Uvl
G+KGga2xd2zOWaY00s/P/qS8N5+4BJRP8arbeb2bBB3SdFzzdo5sVk7IbY9Ec7IDUdUcodqqJeYH
V7pPqehUua0pVdrF8CXeykgfnk2OTqpuzLY+kdrwtzHOIX0Fr3TcmxC0j9SMqMM0sc0wO6rewlAL
ElrAmpWWpnQDJkP/PtHSl4Kqpd8GCEn25tGf+ZX/9/Yty/2LBYaFm76h9z9DR/pbRdijZTDa6vUi
KFvyo2TpvEcIzlaqy5yT0XmPNiGs3QDr2HD7+qW183bX2y1Ld7dnrTCnvaPvRk1iZqzyKH9IeJu8
NKM+oi308x6qWl9ghzOSe3P2+/EIa8lP1xXo3GgLMsN+9WU3fasxzySAeROIJ0Puc6qnRSgVgKw6
jNeYjdo1LQAu2CUoNCRLlENCS9X5W9KIgRfRh48xUdjr7sIFkTPHKrumX9wcf0HoVJOmXQVUnXzB
6yxGkcfki7lTLfgdZQ+K/MvC5KkXPE+9gHq6BdmTLvCetIraINJpxUJ6tB4H+xDykgeIPAug0rmR
ha6fsYPZ26Fo0SKx7RHIi4tDYbCpcYFJXKXX1RtNGBe3SIyLYFRmA6sPd+HCGsoW6lCmLQAirt6s
k4cvMBF7V3fTL7QinDjpxRjH9hw1i7mQ5Qt0owLa2w3FasxGLdeZZ+eLhDR/UZHMqdTECZ9OB5eI
yOjGWhBKoEjBkFJ5cF+7g5luLMWUGBhNmWMK0WArrxwTIFNK3u4ywAG7Ru7Ca2LlOlkcYuN89Bag
kxSGeKKvYEIjc+E92WUvnqWonDsOO8NeFbjz3/gA6wFNfyUj9Bc1auFHuQtJqs4c+F78nObGn2sP
FVeLP33RF+z8BnYPm4x581DiNsGC8kWrsl0wuft6gVhZ0kLKRV63Sk7NydA2iiAfkFDgTFASdPAs
qCARdTBKusmWXaRjgp2wtQ96FOVDGYUza01m9k0Nx+EWx7Z6q1wxUXnUT+WN8lwIrUjka7pyGHEm
ePC3nhT5m8xGbmgxjIviVpaxTrdsAyl948Q2CSxfC0nvEB4DHK+X+AD2Y23YTJq8lQkym/5L6Cou
Or0b+gWBPt6q4P0aSWY5xxiwqcuJnZiYjRcpNTvadUL3qHcaBmpizSh5qjTade+Kqp1Q69LK/sTr
GVVAWYt2CkK9c+lOcuHib3KwcPFtZy0puDyvCJ95JMB46OX+wLNquuczQ/si2hneo5iWBhKFxamL
SfjTz3EaiZS+cCw594LtHQp66J/KfuoeximTGdPU/MJq3NWw/iOScvym3brFls+SuBEwZ//vuhF/
b0b8X/+tJBJ67f8zeeT0s/3I/wiiEF9f8ptR0SUtBIIAM6BHqgzq1F91Edf+xWMx5eF6dkzL/qJN
/GZUNMxfXPgjrm9j63eF7xBr+i1H5P1CrhX0ISAKvhekSfGvKCOmwH75h7J21BfhGEyFOqKNZSG0
/MGy4ytmwQz43xa1cyvCikeHAjiWrJnh1LlMKZZAljZPAhP4nla07kDWJ6PirfBr5Fate7EHW0ea
RJ5/FTWy21rXy+qQh4YAUOxl1Lg3bJYD9onerR53C6xRiCE5t05TfbdnR51kyUbpqFDy2rWqEtUz
hlM1yXUajui203wdzTupU8wSDO4wjvPoBz4yp0Dl9cDbeFYKV6jDTtSspn4cy9OgZe4TszSAKwL/
zP+zHp5m2bQKQ5kuXkCZmRwDpvcoY224xZ6FD6enZ3FFP3t07A2PPtEki+USrVDwlYxsvlCFXo7Q
6ShsxE8P0/VoklXRtxR1tJjfp9h80MtBOUGW+UCCmonnAfxTg8D04OguRcxZPIa3sQt0YOvEMyMZ
Fkz2hxLPxHDLqevKsynsTpJBRWte11VGcpm1x4hC4EYtXbf02Hw2cJDOTHEJq9lkas8VbDwH2ySO
p7WAOoVLYkinBzj+hcXW1UzioOvGvGOD0C3IeJzSWPWGOvuesdioyW6ovNpMMuMvsFkwvi5czdtM
C1EEStd+1GkP3U8h4QkQeP7VHJZMeOKn7biVUq+eTMtCfUKTGMOdgLtzpEKPYg3U7RECSObeZdy3
v+ucZ8lWodbidVUjL40XeaxGh1TkW0YI86VRiXrxIsfGY0Rq2kN6gGFA44vbnLgAY26MC7qbUq9h
sKo78m0He+ziCaBBNGIw42/YOJ3OiKOUZd2TbK72TtQkd7KwO65kBjq0oceYBKh0hV1H1GS44K+K
CaiBrY9IU/20eWBQfT07mOYocBh5CcLZP9i9lk6bxknMcIMdyuC/M8R74xLDWhVCtzJaE3yqf0Rh
13Yw4ORx9tOozeFqUqx1NkqgMmxUDxKgQbSGhAXi8yihOWYb8juVs2o8QrUr2k/VpzDm0d7wLUpA
mXpNhoKkMoZA02tUEKLoYs+3yvCu6Ec2l/WUDUE28ovR9+CDYkDiqYm9ml17boAi/VBLQfLBKzTE
hNBRcMXytCpx19qxl634RBcPvp/QHu0qtjUrmsFMzVxJG9GiZvjIoRttocYMLkF94dcn3Wx83o7o
HhN25b0u9fQZKDF9uiWkUjex53Pky/w0xb0ZNKMZNuskG1x0T5rYjDujTarndiD21vNoNpx+AINv
sfnmPlGUD1GcbrtcTv0uDQ05Y6taCp2y1LnRlZcQj/dKfeAvwPy30qncqL9ZIBnOZo8NZQ1uoFBH
DcLp9EyAk1BvM+FZA+IxjSILekVPDopAn+IJKdIs+RZqTXw/qFJ8y4BosnInFhAfBjag822S5ca0
NvjIqMB3avxBgxeNAB7wr1neQeDbmClAURNKlqalz93U0XTSWJ2jAjXa08ACLTYVEedu4phfhTL2
qC/OUFA98pgf1VjDL1xaXXXyShNgYZ1P0rp2FLtKx+G3Xf1Pp/YnXdUKo14x1ldp9t3OqKF5/P+H
+7LPnx6n+ue//Y+PH0WCyV52bfK9+/0Ww8WwqQvAlhj0eQY7wJ3+s0f95uNH+/EXNiF/uXxAUP/L
/oNq6eQv/5v/Y/NRfJRff7RJ1D/9K34bDaxfiKCzzDNsh/OfH+PfRwNAVAiCukOOmNXJ7yPGpg5I
nUQBLhKdHxvr4r+PBvwRaxaGjyVvsHxL718ZDQzL+dNosLDfkbu4DwrbdNw/r/GakPB7BO+NfOST
mqob/9EIoiC2UBu4T669dJ04gS7vrScei5RZzOmTbJIgKV4oDtgky8q+t7GVFu8+ca8s3seFXCkt
cD1urYQWQ1kcYg+bDgy4OoIqksDweEer2mpTK6h6eSCcCIdkurXga1qEvLxPQDH5Hkd4b16iH3G5
UIDPE6uGcripWrUOxSempHWGfzBGHjKw5aR0Lvu6cemLcjOBFc/jiSg/Bx3h3/WIUONoO12kbZAa
XcRdOL+MMd6emUlg+Kb75ZPs9DuQNfEmIWPMuD7VW8lyxC6/d/mtgCOyUuAsV/RKrSwsKFQfY0NZ
aApXQMIPUQ7f2moDfTL3ixyRwYLkMXG2RoPOobq+lQrlqiFhqTRtK1L9mkOQHGsaKaGR/+QwKNdl
Y7/pqbbjn2nbV9EWCiDtlUNgyyyY7GnddkxGoiULKm+spLt2wroYofU9c/GoVfysXCCdVW2YzyOC
+GIeMAt/S/Av5WFKPiIWboEGxXeN4uQaFTUuTp8uTttLLs1itRhvfvex+TsbYsNggP3D2Ll87vSF
z2YYABeE+NOKOOt1CUtd88lQFU9tp1Vr25ZXAqz7GAnEMXX8yq6g2aXc5fWtU4w7x7BPWAHUZtIt
zKiSSosw9A8iyfcQT5BfhqBNwcyqEGdMXwXjSMTVJhQMzXnToJw15UlX9g6z9YnVh4F2w4NyVSfz
nZPHe3yq29bwLx3/hDCtP4H73DvZG/n6AIFjjZ0qiNIswLG6JsdL/BGuUyrPwN025lhtSJDuWX9d
W6cN8JhfJ90/Czu6GSe1woK2w1z5mNY8zw2xm/2jbbwLAgOgQY7c1S56xRJPqyJYLe5IRTvvShCF
Qd0nZ6+8cZt8hwUSO4b3reimfZ7r+4jqNj5LUgehM5/nscPdGX5MtRNUJSMJ33ClGOOW1o8jx8UL
joxLWj6abXvTgqWUxvBYju9z6oyn2pyWJiKD0SRknNFi8Ke00Me1sRMpb5FB2AEK875BsNVHfsa+
mG6jSYU0S1ao+pC3Ts1ABaOY/4mp/j8YCZZ3Cehyi6sT9xNuQ3+8nPytFURU2c9IUy9cKnZha7w3
bbye+/aIsHmPee+Ck+M2ku0hHcZLQmLJyGQTdI17zhC4Nv+HvTPpjRzJsvV/6XWzwHlY9Mad9EmT
yzVrQ0iKECfjTOP06/ujZ1ZVhDIr8hXQD3gNvNwkIpEhp0i62bV7z/lO2lbogLybWCf5LelOcMiQ
kHR0peL+syJb/tdvN4PtL283XAiH95sFnA2Gg99y6PrBB9FWtagoN8OgdhrMNbpxCKFBzwx2UOst
Fh4GgcDEt4Av/Sqyd3jviZbR5JtOO7wqtnWMhdZRZhIv6wEUqOPwzkZ6UOrJjlAnfaXb4npK+jsW
1i1KimOSyrtK0R5mA95ao3+LrPEux6USGm7nYw/oViHlzKqxuzIYXcqQpNc/SSKXAPs7BZzbQF09
A24X1XCK+/7IpOqiskPUWnZxFTNN3oBNpOBFjWFk/b2tiZue+cJKWhDskKYg2Kzuh0759AhoWruJ
/Wkr4o6wmud8TrZN34qNpX1WgibriB2l4Aqiet/QhJ3JSoAQ/sjceWuQurBCqjvEyh5T2IoQ7KBd
9B8DGUkxZaT1VGB8G5J4ZzK7ya3uSlWSY9uxe1Qq3UHX2ykakpJYyqe06R4YabGOm89zVj9EyXgj
9WL2eyAKs9LtDDJv6kjdWXVxh695p9LNBAbxEarVnYi7gyTC0Nb5vqeWb6dwoAp1X1bDEc2srwv3
LtdQ0Mnc9qXqBZ7mrROo3mS1bnj0l6omAkYG7DLJkxhrEixl0DmwAJi1lpddOAfthIaAGbFwmOC0
z+l8F9rGOqMSj+WFB4gOodJTwy3c4rdP4NGC4y/yrZvNQcxMHplZ95nFgAY6+yhVE91h+kJSMnmg
S5YQdAJ1PS/5QthTu6c0d24x0DQrKk+s1gNB6xWSayv9qIVJsrv+CR6QXqr3ZKK9DJXyG3yKzUIB
XJFze1mQabHy+vLY1TjBZ2uDpOsuH+xTFqUXpj4N/gwct54tFGDEM4TkCnql3LTp4IcRvjaRPRNo
uTPGcZcTS4zSjIChsMsfjLh4Bmd3OTbGo+hwClv2szXX92MuoVGkcl+HzuesGxehjO1gaCUSX8K+
KOcduuLT5DeRK5AYzZfZObSzvMlrygunUd/MdgbkNzSn0pjeMgBxwBy7Z5UuARMjSPGJNx0bs8NA
6B76JSXWUJNAyfYZlhD6OLj1NbRjcXoPnflZ6pJI1/E9JyYNZIjwNfS6ysCIBBxAbkPdskLEosPK
JV+6Mb2TLZWrKHuZQV4QEb32IJy3fXJrIOybeNtNRqtzQlIDdwxfGz0940mvEzw0BF9r9SlU3vvM
/UTi/zpGI6e5caNJ7yM1dT/JCYKLLOsUet9zxl+OF5jKdeNeV9q1ZdwU8pT2ybFRMBcY9DGNUz8R
y5K6D/nYMrSn3z/TCrDpIpPWoKffs2TaFgNSgvbZ8e4H2gcg0bHmfXrwBjX9RUZ3TpRvbbdZueYt
E2/ov8OplDqvi3KVqieCkatVPF+qyEmcCXQ6e1Rim3ucPxYOrewcRGKzP9xowwcnqXXuGM8diTf2
xPc6059d75iPqJrFrboQr1kridzTs7VMLD9K3gcSn3P5OaYlB2HvfTQMseHw+K5UZBJCM6XR/a0f
6H5KL6ahW8KzrDNs8cAWmcGsOq9092mcYbECoA13JX9MJiUKRn0yv2H2AF6ouH5JDNIGn94FgS33
cVQ7/pxq916mvJTT9FRm8z3hbcc57Jx1T0z62gBoto+6TASFcIvAsQvp4+/5KOW8dWdn1yl4BAEQ
rVWXcgrO8p1i1pgjgTgMNKnzdHjrmBZIrWFcHsL9w3wx28573vcHb4i/u5O896BRr+tU36XpFPkl
k1yE7HkWhA6GMtQ6ftp398ACKO3ygEL9sqwYmINORDkYdfbBRKajlc1VNlSsvuZVXFvX09RtiT7R
fZOp8gZg+9ItshR/qD2YExbGydb0OiQdHHT/MyYBlPM/ZVpleceM6K4VFRjjmvwZ7jGAjJLBJ/Cb
kxFrB+4NUm1volFRhcgJHIfIokJCB1dcPiS37/6nDq3/LzrfVU1dDnM/VBL+W/f2O9jq+i3nmPrn
x8sfD5PaP37KP0+QBjBM7UyDQkL+D9Gdo/+NY+VCr3JodLhILf4BqeKYuCjx8KZw4LVsnWPf773l
5QBp0CJGXQUCHzjwv8Wo+qq5W4o3h+a1h2GcC1G/FEHgffXRQFEW4GmiCB85vsQbDUN7NprbH+7T
n50nlkLwnzQsDJcM1TyNrqyDmMzjjz8XXFGuVGVltWGAyA3Kb3+a8Esh7d8UpbUBUPGSq9a6G548
gyS6+QZ5tbqOjWcRUUqBjx9FtbELffcXV/X1AH2+KsamDLa4vD8ccsIqKT07r8OgiqcAs/5e2AsS
iyJPi5oArdjaUXJCk+0N5sqVF/X+FC55IRGS8w5uZnX76wuiZv7jfXJ1AlUsMAemt3QIfipM89ip
6KZHYdDOMt7qKUtYYZknWgrhzRjHGM0shewv0ctmNdrzgQy/fHEeEtCZ4XGc4wJATmHdhp0mLgzp
hhfQY/aVw1llpLNoFMOrM34IyKo9weR2WVzZAIvBDI3wFglJWYEvW1ILA4OTi04h0JKrRDyTX5P+
Uug0+TApI/nYQHHFFmeSNEIzLU4OtnIa9PI0hzkJGKZv1v3acqdAUaU/SG9VqPohssOtrMvL1tbB
TBQMdZ+nXNkreNvm/l0pLmzGfix2xmEhNOvmLvMee9k/gZwhUBznBgpsZ292j+Eg9+5EsmtPVBRn
vbxFMdBFt7N5gJR5LTB9zeq8dq0pyJ3wYMWdnzF/9kJxOVnDHVymAyqnzUh7085wL8u829QpyaMK
mAc6Qr5ug9vCLi/N5qqP7Q2owJFcBRfVuEDPTuImsKlyBf8fYMUhza3Fu7DXODVIYGIaTr+oY5G3
SmDMaOpFy+3hYzzSMGp25sa65XmuUsXYyQ724zwswdMjXLDG12pQBTd6ge6cSjEB7jMw5efsdago
LbKeABgyX5TkLoNQoDTXU+VsUBe99RxmTPMdW/Fr234UTQ+SERpq5N2QwEL43TFpip2rQflySauk
Ex6hGLhW2e1BdYevkZMrV1PNk3NkdqNU6YACYSQ9CeHqSu9C7wiUuPyIjBo8aVVx0/K+QvA+FuI7
zJ34Vp+j8s0DWWWvDGv50lBuJktCnzOYdw7kuQckY/2+HSL5wnyC6CHDi7bD4HhIXBEaPNJCJ24d
nvJKCwuiz/VMA5dNPzy/Iw5AcsJtHb9rEJDSSxqnhquwxzfc/GJH0BT5l2PdR5yEquTSkMaNRWF+
28y9c+rQ7/3/duz3/5N27Hl7g5r4w6r2h03yKpnL5i3/w654/mu/7Yqe8TemqfhA3N/15r/p0L2F
wGhoWDzQlS8SdTqnv89bdTIBln2Uf3B9YrhiXfz7nogS3bRRStGD0IylVfXvNFWtpaH8w07lwmy0
DUyU9DXYl/Hdf9mpeCuVUivDfifbOr7CFeQx5mu1k8iOcdRcz7QEgsF2LioNm+LcIGgM0U1pIeJl
9Kl5MKcZgg3TuXO17ko3qC2bpn/t5xHNWnqluFho6AAp/pQbny14iBsLcWXFouFVR6K7Kc/NWbw6
bfLWGoq2mVTTeo5tZG6EDWFxzgXHbA5sTKbeaw+2pJTjO4HlYKay2rJPdVqTiktul1/nz23UHQtb
tiuC/qK17elrvD1opaoRelNmf+reHO6xP4on/E5q0HVDTtRQEoxTvEdMryPbGe7a1rgyIOuKYgq0
EsB7AlAHW9n4aReaWE+VCiJ4qJ45bEDxz2iUMeMjgzp3SGGuZgTi2UWBlD0YOvmWF0nql+NMxFOH
aRedfuxjUyNHZBTPleIMx7JNURMnde6HGC9x2Kpg2VsVo5NQ+/I9k5rcjn12CcL7Au4YUS9tsh0N
u96IAUJmaibzhcRWVSaoPOs0oa1jOydIFP26ynJlCZijs0B/ftXXVvPoxkdbz+5HWdZ4XzGictbB
CXBbF5MP0vCpgxFH/1JrrlKkHgc1bj7zPKdqNzdCnR9RJO56Ivmw+YOv7TV2KoNwZlqKXRj0UoGf
ZQ0fwnQn1iejvWnEW1THHzZZZ1qYyhXmwRtSUh2y0eZbnnW0MomJ2VT6AGqsVtJN6TA01cxhOcCr
N5GBTifhSOLmxr5xF/1aY7p7JeV5G/SbfARNKY15BF59HJIYYAHkafXW9nNC0KM49gKBiNwfHP63
YQwx6SS1dSsznMSNN6wbPeOq1YNKKls9ZU/ZRJxqV/HBNmDr1DjNcEBPk6mcPDfajwC3A9cBNha6
Jq16HGm1WYKnz8lPEEWnrodx3GA1AOKj6UgKe2dTNXa4i1OU2OlMtwUh13BwIJ1ehyC3UaU54aWw
yVtGAvugl8bl2OJQcvue/zLF5bqKmneTUfNaM8qHPl10n93w4tD9+M5OuKRtmd/VJrysW/3CATV0
N4P6RmU2Jms0TbCP8H4G/Vjvibc6c0aOSd+Rhzpm12TtFnSIkm+FpbvbVsitJlGzlqr6WS8SVCJM
L2rYC2vC2yiJeDdTEBJrg2CIlYXCYSdaiUIQzGNFfnTKvgzR/BvRjE/QdU5jz2yFngNKPF7AzdTE
2lVT6/QqGh1wXRIHeM0Y+pN6qsm95lyOs4FSvhFBO3hkbxMuVzrqzTi5vGcNyuy11XjPLpKLiXy7
Gv3ZTOhEq9E2M8X0NERbL8mVd4IFdeYEjJ2PyISzrTPz4GMFbxztcZJMb2zLPMTi04IpbnYymIE0
3ChqCQ2BJ7nJzcELgB0g0dPDN+xonTftpabugFwZVxFhWng1nFMCwmDdjM17PofxJdLuadOZlsYI
B9/9AYUbS6VLEuL3CFyqVTaB5G3MyU1dV9XwOGlW4PQK8aqgj5R6k/cOuYnNukQCUKjNDS8hvRDu
nGLNj/M4u6caRyidNb4ONIRUeTKtkXyTQT0NbmVQeiR3eVWa4P4WDjoJubKNA3gHNghphsyq06xx
qLgbiDCfFdIMftfuzcg95SJ38dPkOSSTdthLyllJZjgBAogo7QPzq+eonMxhbcZ9/ADdvE6pvQ11
WyZp+lkjbWTF0bX2cYAF+UyDgNChKRH602Q5fYuoQsc4jlORWAcjS7dGQuz5nLt9AE+P/Bjiv+jD
2eUG5gvoJalVnxVftd2kyDABLmZJmFS41VEhlJ22aRlZNn7SnX+00ZQ5GCIX480YKgS2uWVB67Et
S7T2jb54c1Iy5bZq5EVakHdKgcJN5AyxekN4oU9z1qo3UkuQQEuM3saawDWXYX4fHlOLoMLWk25g
AUh7h1KTr+RSgSGfR51cXlgownchFJDjoBaIlLKCPqGCbezKILwEs+6ksWvUkTi5g61cYpiKjliJ
k/sIp8ibobTIviEBAZGJOg80kZbLLVp+82GQIXxDWYXXTPGTLavGs9cbRKTmAv1CrNbWhu1arEg7
fCu8wTrCZ5i6SwfkPxBfgnEC05buM7xOGsdYDnajXusWi1GWPPdFqNyj1ofYZUpmVHI2s5uqaNx9
mw3Gq1VPCEFVotaClCHCPjLA/K8MdGIPKg5NzgmVh8wym5Ir4ZXfMI1U95mOpbXNSufaTGkhzWOj
7MtQzm+lvZxjBVHq60G8WJn55PbaHIA40f0pKz7H3sNP6UpmTAKVFPfOAeWLPPEbN1zcDbUWEn7K
mxWkCkofsDOBLekcj+CTV7Ohk9wCZuPBG8hSDMFAdkUfb+DUgpaNRar4thEW7+AIumE7tg6ZqkZR
TfnatNh94KJXb6QBG/tZtO29jgklUBuLdz7LQ/uo6ZG4AWIx6iZGa1HN2h5TnvUE8YjO9pjmr3UL
fcIRfLsaY1SI/tCkvLM5dOCvQ3AvPZXRjxqeNBdtEGYs0i2c3JgZfGaahqiKGXFrFJwqmjILzqVR
PE0arJf+W9W1nGiScesmUY/UfKwfK7edmdooKwEdidkzW8DaS6Pnc8n6P+0k/Zdox/+tYkpYpqgW
0CzoBlWwrnMM/lWtf/n27S2Lfyz1//QH/Fb1u7S1dNR+CJ7xk9LgQsn4W+FPLwx+O8x1F0AX0gna
NH8HQjp/Ux2Yer+TIl3nn70wQ6dLBiNZUw2o8pbF7PHfAEK6ywnih7pf0X/ntS/yzx9HgaboeA+z
Lt6JwSEihYu3V2k1RB5gjJyvl0Fc/YWjFO5WGk17UDsc6iVxjgQukrZzPVRMqhBXwir2nVE0j5D5
5HXrudMjWqcFvEOibLVpIKUjEaaJiy0+bW+dTDXHtZPmrroynJllZkUJj3mHsSTNHwAFtBfSGmZp
7/ZKte/L0ryChWUcyBwf3nrSZd6rOLPaoGFSsS3zAr7eTKZKRFektdUdVBf7tZkyHHxG6Y0gHXFA
qixCoq/38AkQf1A0mKkvKy2tD6lrJ7dj5VjROp2b+t5yOHcj8B4hrsg+XLPc2y+wxOGVjRoG/LHX
wSM3xGCIDT38eDn1k3FVp1OG889QaMB7WeecxiLpmRmlRv+RWsp48BD9HSD/RSdcMEVQu4l+p1up
fFLDBiyQEucnsGz2lq3Zo5CBPtarI7ZUxaYw7Dm6Ue7g8TIizC86NjYXzViT07/XZfxBBclzVODf
U+bqds+cPRvmi0qxjc8l7elOJdHzewLxFwl/VNUvs56ZN96C8AviNg1hzZpp9ABNh2QoSVfoGLPI
X6NSHWnsjxU7r4wQvmUiYeSTRv3wgNNZeaQzH9PFGBz1wZVajADNpngOEkWoRwAQ+nuqDTWRrG69
1vSOyQfqSwLdC8BlgNSL3AnyCu047pfuMoW9j2vGoFvj4E5r92Zee80q04ruNTdhcvgWav3vUR6O
9xAjmRO2IA4YkXREgzkhAUQlJXa7xrcshN95pr7NasIwbogBFXVAuG0Bhd/rTXiGiiiTK+gfI2I7
cOJmkPaFYlD0zc73AnMfsh9RW+G6SotqDoCeCg2cI2QlzLpN9TqbIn5W9Qp7YE7S0U1ujUgm+NZM
VLpAxoadRQBUx2C0QcmTmKDaUeJIrtPgg0Y/sab4ZGlx3XD37eg5J3D4E0SIMx0aoYffs9Dudm5a
S+2Dhic+EZxSGuP0PJx5pUarKzdOQ77WsRe6dslsCSRLiLFqjyus/ZAELAVKU8nCV5OcP3MMUi41
JWGX6aX0Xs1ynilo4x4lsTmGFtqEKX+ou8j8NpEJ/kJKZeiuGkKBK59pqFhrUMM2qapkJvHyxbCv
YocjJhwqh/BoBYu8T9tOuGu1zPAyotaRQFsJBWX0Nrnfvb6xaeC1HhHqjrAovMbOuVVl2CK37ltC
PhHd3inCa9+9xmqfSJ1Rr81xnjcW2aqln8cjBRmntP52cWc8DY2F+sAa4KOBcN/0AsED0gEIK2gH
6FHkukf4CvR8kuyrQnAvQKQvKuC+eprAiQD/yQA4QHMBCUQqT7mnLCO/Hl3STFFf5Cil1KGMVzFe
mVWfOnaA07r/8Gam5YippIMsYJqxOBLafUJsGbsbHOJVCAVkGrd1pFgoIYW6d9DGFqTeSO2l8bL5
G4O3yMaWpTJopxC9kvQmrjxOpfFKL03nNORVctdDEcXD2NvaXh3seWeCDjwl7tDftJFudyt9KIBl
gtB9LsvYCXriwDbgS8P7TrLkrI08mjdpNqDSsLyKQ0KncmacUea+FslQ3qCat4K2xsWWeuO4l2Ez
f5OTUbrrKQbwt80yxo0oriaePd3n2KAtHVUvzDCyFwehxwAPihPo2hrhubGGdw88HUTg6hRpN4g1
2nWPk246KNY4QNhyWwMegJuWfpgoMlurrTHQN0Lm+y6YBNx3puQlrFXJMSAa6vSV9kL1bNUDaou6
bgBO6tKEaGDaM3KHMkuZRnREeiVbvVKrxzbV0uykuyTX80gMFp1INWvfUOi6X8TpBHK05/Yv2t8O
npddocHf6WJgQNqoU2vcVHXVXGG+pbc7FN6U+SQQeddN7Yj3MY7iz5icB79qVSp2nO8Yj0lTxLYl
MnebokKEeBaV4HonlK+Qup1kh5lcRr5S1uPB7GsUU8YUioMcegLqLQTMwJDLrrwmTLBvfS1qI793
YYAPFdxMX5mUbNvnsbrX4PGTNUREF8mLmjVuasNIL41Gg0+klwR9IL6Ot/1408hxjlZx2ZZMCrD+
X05pVQUyz5loqECKs3Vt5+m7U2cFAerGxTAmUFVSIflbJVd4W5VO+2QIdzh0ChUHXImOOXubYdpf
lYOa+FHngP9vM6t8IoiMxgsugJ1jIxFqBV6eCYwAoQ3eBf186oes9sxVXHjiEBuDFvF1aeqMNlZo
qSuWnYJ1CFVjo2H0hj+pld7KVUnOFewGbNQJQ2OG1hfRXI7rCQQeWsa2OxWh7MFJIdExos44GJ79
5jSD7c/SE7sZT+ZO79r2wRgtYwcE0+GrK/Alkaxnfq8TlEgkEvfeUSIG3KCmliO5hG514GzBcHpK
5C70NBrvBvQDQgCTdLycjbq7LKJSRQseZlfCYiEP0qEg/ZMUJ6I/6KAq+EFtAlfWca9o2zadcFPM
SZ3t56QtT0ywBCGfAERdt8PA6iXmBaomRhNJJdtnj/fMb4HOfNhTqBeLFKi+MXMBizBXIVN0XaEB
LoBLTDqM/s3jhSHyRitu65SOZC3mxAyw9pk71eqqB5UzHshSHn9JBuEz1nVkk4OezS0qqQgeD/jb
6yLzcBkknaUGdLxKpntdRW6wx8yoq7v7Wmd8MkZadQT9NhIRk06MYDJQlq3VOoEB1WOLWWRR7uGr
66i5dOc1n410WiNNHR9sEwrRysKQ9z2M6/gmDxXjMpUVgE1AkfSTBowRbKCllC+9OTl0PmoX6YEB
RLJWw+jFATUGUjDpx1fFjpXXjCFUskq7dHysvNTexm7l3CyyvIM3Dtkn19scifuY3pG7w+mbq6ml
PEsaoHp943b3GONyNEbtQE6KQUoAeitrmm7dqHE3DuOwx5nu+sZBufRG9C6lBuwRIGBdGyI5C5sO
Ar9eG7STWPUuNbD8rA5J2NwmcAtqypdFqdvNgpVKB1snggqaQnJwUkWWWwnqN9xXTadG5NKOttgI
LdauUdUieHSGHncE+UXTJunzXiMS3I3gPuuNe4GSd87XpTm2ZI0NHmJCl4keaD69ZjQXTkPzMpCy
k/pNEqsohWYRXiW2bpA+0tnxnjfEm9eI8bq3KHbY1AbL1U5Z73D/gSuZoArzlPDNMRePphnXJ/SA
LZwjzkOndDI9v9d6HPa66lwkreXeaCOJK4m2hK/wFhDEwr6LwMvRJf7ADGAZJFxJCy8huAmXBwTN
IoiSJSREU5aYF/cc+TL0pL+QekOHMAPK5bK9ndtwbBX9lX4OjuEpABIbvdLZ2tiJT0Lo5G/O57AZ
sjDMzzRXPMJoPUV7gDQ9vSUuCTUuFigJj2BmJwe+0i2KVmAuq1rWYwXuPSUCpe3idbxk3+hRmZy6
mTyc6RyNQ405g+Z2k2AGjHsr3aLF59iwROF9sDdAgnlxzCVrx4td3FbnAB77nMUz1PpJPQf0UPUS
AtOcg3tG5nIAZiKhfNIpmqnRZLP3znE/cw/YRAkLWJCOwdfEZF/2ebMJCaqXvCCiQyv9mJJiGIS9
Pa7403gsVVFN66JaAoew3xA+xFsFA3lJJMJbb+6NjJSi7BxYhEl9CS86Bxk151Ajhx8ZPRAhwjVp
S+5RNTguemOGwZ8lXNpTY5CQS6mTEesRArxXUmVmCDrykJdUpY4BM7Y7g6ilEPFHuZqweflRQRaT
nFXexXNAk7VkNcVLatMS1EyBv2Q5KZ1GqtM54Ck8hz1pS+5TrywRUG4M+SA6B0Pp55AoRLrhoeSd
/pjOIVKzqUWg8hYWpkF78AIpb7GvOpUBw7hgM1Wlleu+dtIN1hXiQRu9DtBCAtwk3XTemyl9XkVF
0+iVsD/kwujkos0DTVeVOFwInh48j012xnpanShBLoTYoby+ZnKNntEfGWSdSnNpWednXGh4Jocu
DFGIPyLQKm+JhnY960LNoY1SwYWBDoCUOtXbqnwng3Khk5qeF73qDcTS6QwvVRgL+9FCNI3a0rmN
Zg3MKaeD9DAs7NOZuKP1tPBQxxFGddxpL5oq4lsrgZra6yNN/tC2oKkvVFWzEtEF7umM+w5z1Y2F
R1fKgcRaZiqGtWZGfwe+1F4qdChJZAMBcIUdvsBco5RqdiG8YnHydgllaZCdAbADWZm8RAaH4wZX
AkquBRYbGbPYl2eErLrQZEto2BtKOPtI4rB5Z/6Gnm0VJlhMtgYb5u0qSu3+vj7zall59b29QGyd
BWdLKlX4Etv6zNIWSogtXpSwusiFhisKNb9G+x4fjDC2j725cHNr152SlWGrAHwVQ+7iBbELV3nE
p1GkKZOlOpp8S80VP1YB8+K5mwD8yLS7m3SRPKBM6I8eEPMPvrvaUTsDfhfUb+OlUH9txivKShlM
7Ulf0MBCy9K9VdvpFcKhblypC0Q47xgbJPI3sjCQYVHIJeoX8HDo1ij7FhixXtmVHwpzvFAWVHHm
8EPQm8Iw5Y6XWAdAjDw1bHUkwAy12Kj4W/xE7cQdUjb3voulAmxCVowtKqwGG6xlFVIgfbwq6WhC
xaJysfAcxsW9lmvIns0+PZam/ulwGGRXrrO29UcgI5eTOQL/Z/sM+iwDZiFGc3iEx4gcJJrr0t0w
Juy+ZeY4rf+Tw7mooCeKnTGheOhEM44+rpOSWS5y0JuZLUVCW07Vdv1/pdX4v8mRTaYL3bV/Day7
fMva+O3b8P179WPvEDv18vd+V86Zf9N0A7+iYyMJ+NIt5J1AvW/SxDM8dwH9/92WrWHLRjkHxc40
XM82+XEti0z8X/+BLdvWcGXhVlgsXYst699oF34JUoBW58FXdRxVs20ARJq3GAx+MBBY5RDGjVGQ
bDHkBy9vt2zR4jLKm9cOVOTKdFRyxDn2po3kuxEtyQLqI0kZ6mXZ9s/GkL7IqiEgdZ62Y9zLHaXn
EfgLwEybrn2Jd9ivIaCsG0s8dy5HLtXLnmHiUIhPS+VPdJ5EnjZUjM2G9OaHp/Enar2fhYHnX841
iIhQYfI5mmt++eVSllvQO6Xpj3nqa7gls/CzaKojcsLfXv5/SaL8+kkmT9LC34c08Dc15M+3kYan
5vRkHfgtNXEC/CYtFOxiqGKryP/1L2UsjdyfJIjmEtWF/Q5lB/9ausw/PjJC2oacFUfxC7v/cMLa
YQxRPHXTgqDytH2IcWst7D7zYfFWvtPLdq2yuKyIhIjJcB66HYDWLXi8F/6v+6LIrxRLn33Lap4j
ZbgobedNj33Tqmzfssv3ZsynNcdTACyIuSYzQnJBts8mNFRi5GS7h83Rrrs+GwNTTQY/Dqc3u59f
6jp5Bc1C8yNDEvnre/AHVxe/PPuxakElsGxLO4tffnhtQw6F8JUUzy9ddxtDqtXysV5XcbepCN70
yucqt98UuIo6Dc1x6QeYff5NkPH26wv5orJBD2piLGNaxuZhgn3UFhXODxcyxeMY5RH9J9EhKNfq
mpQ9xXl2o5YcNk18CJldmClYaiEuGjnfl9Z0i8nF2eI4FKvc028N2dwtRPDRqrfE+L3NafSaT9oG
5tjpLy72qyhzsb+xCLHNMoxYJEs/X2yRYsjJujEOVHWGEQt01lGHe2gnd7ViXxH3ed/Kcg9BbDeP
9jap1UclRmEjTWh2ZLg2M2Ed2rxyANaARKMOt+37oWrMv8C6/uHpcp0gPpmxwPIESeF8GWVgpXfs
JHEUv0/EXUXndEOreyDwYbwZFooDJ+dF166uTLszOSnMr309300583jMar++aV8Fv1+u5avDSrUr
TQhHhH5YMISvYDN5Gn5wGmmuvm3/8uPOa9KP3+7l8xBG46/lSTmYYn9+Ro6xRMETF+QbHccZooWo
sTs8m/nAW2HeaTBvNu6Ul35fgg6qEScd7XjaQ8Z4dSbQymlKIFI05BhWveJ5cRRGrbfJ0/Z+TkjI
JYxHgOb0kLNYya2XI2vFd44DdL50u9bcpTbcsUor6nXTYxrRSy1A6XgBdgRKJ/pEtJn1IuiJNiFZ
easK9+auc9UpYJpBuzUv8Qs0kRF0DEZ//SB+XmLP3k22A4Zr7FVYORc78k/fNEMVbdnxIGaMwrMZ
bdLqekxdP8v/wlWn//FrQouZkDaCCPkgY2Gi/PhJ1syEAIBBHBgp5+Y++15YaC9Mt2rXs2dIYnTj
JyYpd2Y97zs5nYxJfwndfElwDF8bulyF1X7j4M+oPtsxAbjvuuZqLMX21zfkbEr8+VX5+TqpH368
TjX0aG8CwwRbb19O2rBBh56ukdU+h2zQK0ftya7H2olOJm5XYiyumpETqFvVz9EisuGgrVzbZqsE
I5ouXGpJf9W0Te7joMqYebjhNqpt8zCTn/ooBxPVUt1dM6vpVyZNL8gYjJcUvYJv5vHBttqT1jtP
uLpqU6conjqq2CTHTNhJwjPLp7FL3xjrEyhXDdMr9emjPrv0/agcPvOqF6SvAt0KZR1d4JuaN1ks
Hn99z/74ElHtWCZVD9s0AdrLo/9huc46j3LDQG0XWSG5WBmLYL9ODABilb759Uf9AQVM9t9SczjA
ppDh4YD4+bPGVK1ly8ySw95sHKScnwj3Mi6qZooeiTEyV6JGKFVMV230GTlQOkujrVa6xwY7dGXj
z5Nm81Cs5qh5019c3PLZX14dJtd8a0kt5Nv0tewTaa/lFtBcP83FYYIGaClA+R7+4g58rVS4A64K
Okh1+AwwQl/uACK8SPa2iMj7jQFnO+NuspLMDy0i+lA1QoKRJ8YR1RvTuQemVrdWa5BWWIKlMAsZ
1HMOhrVJMD2145HuVHwpFCz4TeiYf1FQ/NmV2qChMdHSOAB69POz6hgSitFKQt+1S1aVhDBw1JvA
/WM8oSoz0djhgBdeuHr3F/vLz+N6ljVUAbrt2rZjsStbXxcbMm66uYzK0IcyjyHAYYlhfOshgyx0
DHXMG+l6/jd357EjSXNm2VeZF3DCtdiGh47UsjI3jhRVZuZamounn+PZBMGf3WCjgd7M7MhSf2SE
h9kn7j33v/lc/qv/pg+LAoIDNyyag7/+tFGBQDPAsLwlm+IAhIXgQlVP5xpI1NZWlPbF8CUz/dxI
9yNV/oe9bmswCoK9ELE0quomnMo/KXHaVhWACnr696/P/U8HcGhTTKOG5hD2Q75Ff319k9FY5CT0
xpYZ51al7SHxkn2S8nVhPeaDcV9Ij+QhGiebRAh5Hhb/HS7ntO/95K1tFoCKvvsAPuhPKuW+mMy9
0FBPjEzdjX52oB3nqqpWzG315XPf7oJB7DXBvaeK315qdzynmdNs8DFu52lo9ugTfs/gAYfZfbNY
8uAU2Os227uCLEntwFX49+9A8FfxNk9FaPu0LQFFLt8dFFF/fQdKRQxHaMlg2+lglTLdk217DEpt
4BaYcPJGfcucSl7Xk2Cfm/ArgIM3eAi6XS+6h74dH8DqcBkY5LSBhownu+WCZ8EbougLyOzZFhFh
35YDXrDDQYObDuzQiFFv9K01Ue4qEO4IWyP5IMyJhYYIH7UTvVm2uraEs81y8otSbgN4i9vRZK4D
pOZbspTdMtu+aQe11bxQyyxu83y6mtL0KoPejNLL+8CxszXg9W7Scjz0vX9dsSdr6EF2U4R5Es/s
snehRO4mp9lVhmltzHX31BdoRK1s2ku3i50JIS+/dba9+mtsxW2V/wqWaKf63//NR8E7/ZeTEn+a
vyIkaO1Q7/zryTD4ZVIGjUM9ZsfNcvQCCLUQCojZ+3ul+b+t1fp/aYDCHOTf6q6uP77l/PF//qsM
3v/4q39XXNl/Y0RC22uZNo4GADb/UFy5f2OstpbLP9bDf1Jc2f7fwhWCxzFCrcgVxwv5+wgF5j83
Et4MDl0uQUYv/5MRykrE+ZdnhBRGHzUYgV905qazxgv8c1WhLAJcFrZz+4nUT3drtkIerK6Vt9Ca
mJZ4vfUaNtjHYVIG+ZUCkGmdEVP1p5Dt5GPp2uq2xfSDXGbEKcwVGT2hcYyIO6kQCVwleFvli+CS
mDeGUYUvNJA2uk3b3k6GY246M39oXGd6Djzithk8avSf5suCzpDzohyflFcXT2Ipy+8BENBtaxbp
0WZxc/aXRZ5aUQx3RTblYGUCjzjHLu8L7MDSWIBm4uKV3oyJruzRjzFCgg/cDuF8Hw0JOHquh7w6
223zUE5+sTxgfIat6suleKyJ5tbbVLUagEFVRGdMGBaaIgJCQLK5ttQnNJmIHx2d1N+GEQ6gN5sS
b7dTgMe6QgARRWed2EGwm8lca+/nOau/XQjc6iCiKdMvhiWib/bQ0+dijZV1tNuoIakzAJMm0tHw
9yqK2hwGK8kttx4K//G8GJ7+0ycBW/sJytt7ztriqfKBXzuU7ve2O5MWmabge50VBGTIGll0Hvqf
M6lY+uQgOmCGnbRYrHPpmwudcc30TLfV3koFgG64aShAoGk9uV2l3tj5i2+UyO3XZHbBDf0au9IO
CSmpwKNwY7D644XiqT+AKR3DDZzU4sC74lpxDy5mk3eNRjyhas4enWHCAx505ZAIkb0vPBwPoEkN
YGWsjAHxg1lj9UDWziKwo2GOhkBgsiyN6wE3PTmUTLkdiGyem9n2geM3OGOREyiZs6+h4GlhxJOR
YFkgxV+USB9DiBcbwk6zjZnzc+PD9GP2SrBphDtVH+ZKz+0AEv8ReRG+ko3LQ26ZZPy8yxoHnULv
FLOD+nS40FffqXFMJ8TikNXVwUwR6W/7IlIXvy8eavoPlj6tvPK82btfBxhvbZurazFCht7l8yIP
TR+EX21hk+2WmUb+S7PHByRje0Rg+mjZBIWjXajNAI41+8mHRsWEcrg+d6VjHIKQMNPNnIvuChmd
2rJbfCDlzNypynKZvmAk3kDBe4Kcrt9aF/W5WWued2ainoy1JqljH1ZJiF4jKZYPj/BY+QpGXqpY
TZI8nVLCVWJpZozjyQyQZG3GYSGpuipMVZ4sG/kvLbOWv7pRIT4q0IkTkOAEerpqZuqPrcxGwotg
Xjty72a+3VBujdZt1yorgGvQ+m/A8cko3IQiMJJDgl/w1YW9Ydx4bge7SnlKDnuWnJa3dXVnzzHT
W8fbj/M0m9t04oPeEIlN/ALbOFFON24TiOGasMoxjS12l8WjivhTDzIc0TzPAfPC156nK9yYyGSY
GgicX7EaSfaOyxkN1aZeMHD2Eq2HmebeKfQi0TxmXTWHCAf7KP096rm+0nnF8NdhqFgSOmvlLyy8
BzsmuyD7nY89snEnSVooSVljsJb0AnwclrmAGOpCA0JlOVggbIol/8Oap4kL3xnFLknrrDvxZE7k
DCmb0iFq3ftWq/KmLD3v2zcmvNZYxjE8Da7XfjpR3uL/kVmzTaSHzknxWxwSk/1c+q713Lj4tTcm
js09C1lx9My6oeJFqRAHHuz5eLEiD+WGR5Q3YSSLRMAFjK+LhxRDcMyPiKNK1YnBbzoVo88pYyqb
gkF50+zIr3Xmla9wsmbkHN443wyIOs5l60TTpqWw23EOCWM7ddF4ZG0+XuuowbBqhFBSw5TQitTw
p3tvGhCsSNoDDMDSjcfeS3FiIG85JRhx6MuR1p6sZlYXjHCIJA10sASpOq9F7497lsekvJSRfxrU
KHp2ol5Y7CbDJCFS0IM7hj2lbP0NsexEuAwHPFTRVV31RkwcGpErGe3BRrplfWug/vgwYa28K/rZ
l05a2ckn6mpvtjp54LZU4aGxgu6pslJcfr1yv+0IIBS2knGvvfIx4lgiWbEJIlIjdPWYDu5EBsMi
63NDBrl5CK1AHEkbdfBGaywUhGSp2HN77cReilp1H+Z6aTdd7r8JrMvNdujK7pL5M0QTcss2paKZ
ZFBirhKc4j3AHQzfAkgtEB57cHa5zkPyI/LqiJa2YlOejjde1zj4X7CmpPvZ4gdG9WH9JqzEuBqS
1JGxXSKrucL3CEm5a5fqucnHPNgkU8HdVeraPdXuoC9ZJmEzV+gmcGqYvXr30Dvea+R512mTRbdl
m4Gjt/zwi6u5vSJ6tnuDq+7wbExTfSY6Rlxwu6FSbWYOKs+Z2odCEVy/6V0d3fJaUNKOZENmcGPw
eMMUebADqJLoUet+m/jBHnzcbz+082eSrojySArV3/DplW8mKhQmzj25uW3PktlGQK2q+lvjMLmT
RBTfULlMCOTK4heSsDZuIkPJU1khtyWiomXBXOFusoLJ2VoYUu7NeuWCFkM031uDsdSPBOoaZ9ut
2nfbKnnAhDss2KCrpgi3ZKIBLAr9rv/0G+2+d2Gt7ycSNZ2TJ8vsVzUKIW5nt8/5MqZu+VmNXf+V
OOhMNt1UwcDtcMOlvKtplNK46eAxcueu5HzJg3ONhFhiuGY+umHliUyXf43DzDSCQG/bShEOajf8
Zpb03r2b4sj0xo6TmQ/XegFqj/Wn78OlQkOJGL6mMEPU7k3qMC9j/8erInrJTPP/TUcOf7yx1yey
Zeur0W+Dswcp9D6rKr1sugBB+dbLdfqcszY+yKboLkom5sHEVX4mnYx/CEpp/poyY5akFXVcNjNv
ThcHmeYVaslvrmGJ0bFNiw5awewsH01Upu6umaANwZdJvvpuClwIuZq4VxG65JfYGF+zO7R57YUP
HpGfzV/H7FeQyL4B/lveNkyZHyhM5RYLHr5PV4WiZl+Xow3n3xQHO0qrd6AIBd83aAt7GLMK3lKm
ceV4Tf1WYkMTMVTg8iObPe/iIlr9cIah2+kEoQwFnpFcREWmBeNkLzsFvKSd4MycY/KFKvyoovla
zKqZ0fUH3o1CngthHCT0g6zm6art6vKpisirxndceTdVqLRiT4iSvGwWJszkI1V3nPqQmdogWo4U
O4gmGdKI58TK13Nn5Jjs7IiMwSLCp9ciXsmQ3aeQJpxpbt5DlXLVhEa03LZF4wE1INzxo+8rbHwy
7YAANVl26yDkchGVFBbSwJlFIBnNwXTdtxb41A4b27NY+ugJeU4WxnQCyw3qKfNIBhb5Ssy83F/A
CbR8zKYhumtcqGUIdp3wu6e27NHAmHMCvmpyCTyaPSyMFWB7hUDhSEiB0cdZIAHkCN6zo6kiDa+j
B7fmWW1wr5bUCDZhOdqPLFvrbe2L4UUuvXpkIh3ejbOgbpNe093ndu/pvRmRgElJYpgzlb32STXS
wn/UfqTw7i4E1ZArP996TpN9ATp2HlDTIn73HRQiyE48NA/aM7458RDr5J2PYSJMfxN1UG8phbxn
IMYVdj7T8B/MYfRJ70wD7BPSUTETdYYkTISjs/Sr4C0L9HJXmK3xWRHy/GjOaO0udtcXK3g++IOr
XtVXxLFXCQlYXvHtwF9+WcYJJuGS60tQexmesECajDgCnZZ7X7YwulTJKXRsmsI/Im01nn0x5xrN
WN0d8Lv0lwKxSBzMyjTjxqudnTUPsDxLzCRn6KGjjHFMzK9LCKEc/zGz8mAOADRJbAEojKr6ipEx
IWeGUO1uLAWhYaJD3VsMvyazX3kqldqSBMbQqrSb96RC0sfVVJ8nCcdXtTUnjyvcezUG/c4jMhfq
3YxR0+Tw2jiGfIEVEW7c1oYC0lfgjbroTxUAUfSd9jSRUrNrwj7fu2zlDiGZ6YdEzcnvxKi7W9zW
nH9zZKSbdqI7xHeCmYbM9pESAUH/pP0bEVXV3VR68tSkdbfH/lIerY7E1UYEw9eY9fV9YMzsL7CY
IOMngvTJ5e7b++HYHcnnEO+UM11cRfJBlRzN3cALnZeAKDfELZtAVwlp91od6qhlWyyG7mqwSWXw
DL2gwx2/6B56RoYEZG64ibEvlCO6lQbOMmJc/A55KsN3zEKW2JaN359HHhDsznN7aRviNl0E4+eo
y/QHDpTvpTaorYg+X69TurEa28TJn9v2PBv2cqAFYqYnJV2tQkp+TbxBuZOB58RNiZCMmEh7TyyT
f98XJsrYZprai99gXDFrCancqJt0G3qteesteIlyI/WvnCp54rG/B7d50dNAWNXo3jFIRUzo5Uts
ZWja4F1GGz5OjW1IsFhrllReS6Mvszidh/ylcib5agrEn3SfaOWjsnn20SV9qDqb7pDFE4hi4se6
nnH7H32b3JEqYZV7MKfO5XhLp+WNLdltVncYioGAH5KuPw7M8agAB7SSqMKHd6rOJCaF1vvVzZX+
rJfuusACc+nytFiTYIhuUIUjPu0oMT8F5UYcDlO1n4cZ201vLBdNetBKLB8eC8l/2wkbAGm0yvuG
tJeGR9TwTsVS2DeoBcanPqA2nwkZIx+DCT14z9A795atdyUQPgysTvcZlkrs8yiYLl6UjI+J8HL6
nN7cAznkdsN1sgcT4b+GZYMimoh6IEW61Yu5oxq5Y4YYNDt0x6iBK0zXu8Zo8OhU2VD2sW0DAPNG
q5GIoF2MDL3hIIUuKJ620kBrzvq2Dwhen8IJ41JZ0pn0TLR7bpPv1jZGTNh5MR3TRZVA8FrGE4Nj
E9wRGGkt7oq0Nl8S7F+U3/jGKvzH77Y0/Fs7za1vIkMqa5O5eJA3NZ/DaaC72ZOYRCMRLJN6yZpp
9HDC1rZ6rOuuLI+gTcMdNM6+3oV5s/zSsvbIDG/0acLcQ78wOeWdxYTVP64Dkg/hGRbSrwXot6sn
X8eO26+0pLI3Hq1uNjf9CP6Y+6V+lHnQf6CS4wDorOJoe+q9TSt5ccjGK3f5IFCFjMxZ6Otya0sK
g/fUBHMPfh/37bUgW4XRKlrxdmd39hIcerNwjD122BQj/ViU4QteLts81NyazoZYx7VkFFdEte3V
2Ka8EX00LACXTbTqqY7MP7U5DTchsTmv5lQEhAxAxhn4Y0H6S5UKsKqIIGmx43cUI60pPxtB6hRP
45oDCMVd+1cFgW/dpZITQUuLnIudGo0xnplKHHoneIuKBsYwe0qongznAk4kBcYTWdByTdPZvpPN
tlT7ccS1lQkwRrRmxlMdJuGV4S9dTAmJvGEg0IqvnGpvOPJ999IMRXqLhcj9ytMhfGUyY24M7iMq
6do7lFle32DIab7cVgDzxK7oXE1YU/ZWJPPv1KiN5NiEqSLvU7YZYcOLg74xI+LIo+JjYLBxarvt
Y78ePQvxdz1es3HAjY2+QTCPyBtk3CEJci40vnIYGfsLAi8chKYmEddrtIEi6o5yGMczjFezwETS
0Yml+yKYw/ygA21u28yDIujiHfvlJM1aKrMl4c4h9OspYxzoxQkTy9uS9oVfLchujmXBg7nhns78
c+MV7gfRMgRND1JMcTbOGRUOV9TMvpAIIFlM5zGqV6a9Vb/6hRX+WgjahSLZSuSjYe7MQP7csItH
p5uRLZD9tVc5Mmoq8Xyvl5p8j2QeOtq7sjER8KQ9cnJPhuLdbeb6APPFJ4+rhMphl0Vo7PtgCLae
ChF/Mv8w2FSjafDdHB+Roub5lXZG1x4sfyDIofGdu4IlyzEvCGXgCXbyh9LIm+OYOE0by5beg1xn
CFd8JD468RRD1KZrCr4khYOwfafJ3mkOiV0YKPzHPilqxDFtMmDIsdIDMnx3wvyUTG/ap8HiJwm7
l2EOCBfxhynipw58wjvtDJU68MyZAZrOqJKHXFpPJMhJvXP70KdOyIRzIS4Rp5jwdPphk9vB3EJN
KzdHWOSeFdrt23MUsEROy4Gmi8eTgKcMDoVnbVxzEr9YGXWHorT9MwORQO2R5JcHprX5d9kU9jV2
KAwteTZAXi66oPVv1SB6LJ9e+tqMpgYuMSc+PyabJrjmRoDqV7kDdNKRR+XczwmEVnLhcRIPWkRP
ECfp5kFbmiSqWeknXgbiRAbbbuwrzgk0wMIkYhTrEaF2p3Bq2vIgQqgHl7HQw8Jabwq+Wm9on3Pk
3jRjquChzmxGehtYEDPxXz6zR3oBI9tlQ4uwpCJAXXygig5g8bTMSokGCW/QTuHxRzTbcGCnokFV
xfm/bLOSNIqtV/ZLEOelxcDGl0NjoinS9Q1r79UKO2fTm5+kaEpwVLzxTWrtq9Y0h4OoRTdcAZPA
MjgaAesfw+nEd2KpVO4ne2A5nCSl0aDRJpGQsemUF8+YgxFLRNWCvn/oGz8euSahd/jReHD9rN4Z
dkeCtK7N+YqoLvRidJGGiGt4AGK35FWe7mwJJtyGNF3D323KlpYJlGiDknEg/91NrscJUnjc9in0
ADMlX2UksIED1YQVgZeO18CKb9obmL2Gq3n0UPIY6N0XkGQ1czTVmgyTusDnHFhkFN50S091n3Oz
0YL5LPOSNIXpHTrEUWL1E2TrmKNgWASehbAPY+qS624oWcjmhfVHZ0b40LLCZfKY+j5GiApEvClT
1vSezGFS4C5qy13HsSk2ft8Y96jVl/DFVsu8E75WNDBp33C5WNrY09a7ENHJ93jPKci8Xaps9ZBP
IanIFK4NWWGBesjycD6yQZV6j08geKnVUF+WWYuXtJBU0mVYp3d5s3KYnGRXqSAAccwlsktWwbdo
ek22ypSUHyx0jO9K1fMTTCRQVrKa2PUHHLvzJecqBE0Y5sUNPeQUHonOYZad6eiLYq79NNOweF7M
CYM4qOZuR7Mmz4bFsinuCciCBpsMDjJ33+ZQzd3fltEg0ElmZz8xULgw0nHj1PGGuw5gP26NonKs
zRKMyxE1rnjom7F+SBZyV2SKt2ErbWE/tk3Hmd0vuKEyMtGni2yGer8wXxH7ZQwAVxdGxyTKqjtW
qIk7OOoY8vhCyqm0w9xSyTG9YdiAVQmzLf6yelUfHzucdqxnJIwoGIq2depn+UjUMoGCkzV/ECG7
cwwQr7WJ0jJsMEl9sZBp6AQa+xc12eRxt6XSf8xoTTa6ysIanpMvnmDehk/UomKJzUgGRmyyijIo
24AJ4Tau/hAjSi3qtMwB4rAzi992R5ZzDIUoR946MewnqwesIoDPFewKoKMkCLf4DyXV//bm9f87
SoZrITP4p3X4f2bgfRDJ/tHJvv34Z4H73//eP3AYkWlHJhJ3EtT/spy1/4Y21zKRRodAU0nM+ofA
3bb/Ztr8AsEfthMho2Wj+/ftrOX9jZwyxO++g0IFEeT/KJHdQhP8r9tZF2l9YDmOE6IddIN/2c7a
NDVTbxvTbu5rWx99diTbCbYEnkfp/hFrxRoDeYuc7RStw+RQaDweFtfXJTICQ2FzT3m+S87uX0gw
o+gGstj6J8rO/nIalsNbtTgMuFys/W2QTNYmJ0OLEaSR5vW91yr1arieEow53LG6R1yYg4JLVZ/h
DCxR07Wln8BJzkf8qimoBnhFTGNgxiEoRKVS2IhfI7vgWKZ4zoIYrYe4w+Vu/SG/EtrBxLI7brIh
OjWsTx7sTBr2zUDcN9sIOaLk3uD5y27Hth6vzAb75sbLTdJh2UucWe544bb1iDm/SQoKB45PcoIe
QnDZnNSzdWBexAXTBLYi3yNhajQpqdB7TBA7rlzt0DKAxZMFhQ7N05bppZuCu0/lkxsahb9vYcqZ
29luKZFGnar0FiyIyYaBrYvfdM6VYTpI0JYu1PnRCMWYndEp0jf6gnzJzbpyBz9F/Cr0KlJE7u3e
ylCkmy6bPzLI0K+GlC31igBCIXpltaG8nyxc7p1lfHltv6Y6T1k1bCm/vR2XcQe+Z4BBELm5wiRk
+ciDRHuXMCquTh7BBETMlvkS7n1TuA/ZTBF3vS5nk9jPBzfaMCJ2mELOizEB8vapTJBb0m24WNmN
swis2o/NcYF41RIK8dqGyzgchlok+hqCxBzFnlLQicPR9u5KMCRjrMKkK6+w31fZRkc5hO5K19bR
A3tRxN2MIOBkslWucYcVisbAdwYNgXiEvj+FqGmw8NvVTiw2/5vdCDGQnSNVsp+zTOcnc8bCRSo3
MiMmIDWeC1fUE4F00sjZxzruJwEMzXMhKzMmVq39rjBWTWeeOkI5zCKZMR61Pfe6txq8ZWsOJ4EP
UzDcCMCbQd3WBQ0uI+00NZ3POrKG6Sitgam/ZECmt01k84nNrajOztjXrN3qNrtCTSbvWxXcsbjx
n7uOfX/cJ41xIh9NnkOQqoyYrKJmJJBaD8Ygu/clmn2CiTM0ODZXLDvg0H5MWo3FHQ9kbz9BaWft
bJkZ98lg1vOjKp3lu5DFcq09sx3jfKikhc1e4KcD3GSPO4Iaan1cTFFcR1T3/XFiztRszVQXb4xC
mtsoDQiJaaOavNAE+0oVG57jPkGdQflq2gXu4dAInZ4QazKCaM2lR9bGTGWTQn+3LoPDmQAtr3Cv
25qh8ZbJHSJZJy3UO8h4e9rBsudptwSCC6umjdlWiC8QHJvJi4Ej+LDAiIyLqSq/8xqbet5KtReJ
O72ySi7ihiszOFhNW7yx2uZ7gyi7vxWV18auW1SX0sz1E6gKKLf5zPxE5dFECrfr3GEWR97vRjD/
sJAVu1JZebFJTW0XR9ox99kqsu7SzaN49zIgyrulR4B9TyhqMG4Ch7SOQzRT1jDlk59TbTDLZ4JH
VsVigsbB1t48KTLrTtMSgMB187IyNiBAucqTwM+/a0+2Z4e8FIc+NFxeBkuUX42udAQFxJnEQXLj
1NsiC9jr5yPdkhbjjWwq45S4tgN5RFT5+FiP2LhjRCprvFNesjxpmQlYZx+a6Fn7NQDEaXYsWrvF
rNNt5lCLxwtlrhl7ZtO9ImELbkvNGigKlPFuiSQon0M6SXLYJr4oGwym5pakCs/bYgNhX1cYs7PJ
OfQPXjvyeEqUvYb52Q85TBS7Sneuytp9NEgKVrzHrDWKAkwhzcOae6iao+92Ht9R3Fkc+yT6nkmP
i1h3TAPJipYLpEa7TfJQzIb5JGaaog2TwIBxmmepcZeTR3sPcCVwETrYGmktkmfj4i52ivMmqfRR
KNzN166TAI8WHDlw+p1ixwTK9NHptcMdIS3iyQo55rZaTFbPeaHQnFoeC4pN5JWMkSFHjc8R0ZKQ
LhQmz03HO4+5unb9e8gphk1HURZE7g2EB2z9WfNCbBSzD6qxDS4AXNg4RGrlrxoGKogTxlGXjWKh
/F3JaRbFVgARPesVIUOJuxinobRgcU5VrWJNfdAd8au2yb5vvOhY5qn69qeoeSUhsLo3dE+ux9So
5YuaEyMCKySAeBOzGqxlrDmLWA/pcrJKN8uOnUd5D4N6xp1TMGN1N2G4vgmlTWYA/VN612XLTIHQ
Os4H9S0XXViW9dNchd11ZdYjAp9sQjPhZhytAASdaMPYq7iZSJcGfSH1yzhX0TmbBdx30zCWh7Qw
AVyKcOj0dRYt8xOTzBAaRZpxHYmsberjBNLvN1Tp+cgo1rpJRklzWBkjlJRqQQcCHhpwxjbUhIFZ
6EuSW3dO2YC4Q1pHd3PoA0c1AKBeG04bvQFD8O5T27g0PzqaAEXNsEprrB+VTbIKbhwOOVJSVhGO
YnzPyPczXQU6apXq2D+qHcRHKHgEsvzXfpX1dDWh1XKV+mQ/qp8KgujJhNdA9gsXACbk9HF2U1zG
45CK7dwWaayJ6XgwmjI4W01g2ge9Ko6KVXuU5ymWEdgLoNhXbRLUEmRKLCztOGi8bDMFyXI2moUI
KnPVNrk/Mie5Kp78VfvkV3I5TnhWIs44BRakHh1c8qtiKhUVA4Fw1VH1UowXqOeIq0x/7HdwXJBc
4VkPbvSqwyJOSHy7oy/fZDc/GT9yLftHuhWsKi616rmKH2kXIQB0rS1nUUvltYD9Bvnof7I7Rppg
lbltnDVSMWvVjJHQGt679oJqnJiQp9xnBO1ZZNvekP6j/yCURHwmglWI5vcSUZr8Eaihes0gwoZ1
sUNah4StcrPpU9jo2kYX5thLlYylOvignL8bzzHbe3LCEcTZKZLHs/sjlFORxdsoBAAwBsRo6Rym
xg3lzSqxS37kdgblHCz6HxleWTr6sfkR56nMKB7HH8le9SPfcxDy6a7OqrPHPJrVbIQqH2xpacbO
Iq+tflJH5AXIATGG9QfGfGwSf+SCgSuRDq6TC1ZZod/fqaWVp4Lo1XOZGgomy+jc4nqSI/OZsdr1
EywtMEv5DkGg4C6nBvluVxUjsC25G4LR3gbIH6miUTwaRon4cZzZGJzCMvfLj/lHIMlBGz3NKnW/
B90QQiPctrwdoq55GaYcqdqP1NLJ5vyqs6sAmXQj8IWbrvXiU6vddL0HECTX4OIJG6av9H56THNt
N6e5rpvYyWr3iwsy33Jl0ZkaoeG89kn3YTNvwqKvc/pXYWcgTtem1vrpbxkC0+t6yUDBYai5fGnE
IJ7Gn7449MkoQW/sQcP8aZzrtYlmk9TE0U9n3bs49d213bbouydq8g9rWvx4oCdP1+bcwI3IqOen
Z2eRTP9u/vTy2U9fX+BlT2/UT78f/fT+xs8cwP6ZCTARKALOvHVWYP7MDdQ6QuhQOE+XYR0sdD8z
BrWOG9TP5MF2ucolyssHogvEA8/+clz0AjE3Qw06bMtlGO5UqNw46pz6gkvL2dvrsEMx9XB/5h/Q
SBmxt2Hqnbq0m+Vr0dSSDRnxLWhG6paKEPqsdV07zXDnknVksHPZIO1TzPXldDbxQ+wcExocfDFA
MqMC8dotWcJkJWijDRxP76aZov5hNJLlIFii/aoZSpyYRZOS5PhlVsFFiAwft5ir1M70JRJRVxvG
m+z9wTgzsS/JmnWK4Hl0NAmsKCwwORatrr7MPAyY83LR3gh3bc5ALGVQDaNoelTzlOT7ikEkH6G3
vDlMWN5tXoW/TdHIWQSUFaC3XIcNtOu00zskxJ79vgWvD+6B+USBywmbLppifWjlOXGq6XeRNPPe
n4P81FrJoo46AppI0xAmZza3YPiI39nmFu3MliKD+aZcIobOS4YSi4lsgouodF07JkQYwmyj6jji
E+s3QQaud8eX2YI4umT6k6+vf9VleQ/bDSaIouwoxTFha1pvtcz3o9kEzmZG73ZrmxRDuwRqhnXu
Ihzgezpi0yE2yUjpqmhvfDisajlEaEvfvZ4LLF56gL80G6YrICEQEUyjFPnzc4uB0wUr4rCSgAEv
v3XTeictIasVU0lAsPTaY1ZzzC+2AzTIm33OmoxIubYE24NziRg2m21gGSP9QxCFIrR7d40muRUB
MjHfaiUCwxBtl4A+keEdyf37pe2r7txUNjHJXZT4QPZE6e+YljIYH0axMoSR39kxGqTpNqxDEByi
V9G3Ig7nkfHvs1zVxEAg/Qj0PfK+ol6CPSRzdGqZGZ5nlr/oXhr4Jsyk7wAimduazWbLrt/L8x1o
qu6hTWDdO+0QrGoF1X2lPXPufQTkrj0GfbkKCGUPMHbRtxOrO4yutsniz6sEexkbFeeH24/mNudz
gKHlorhG8UFlr/wrl+SyezaWhD7JZLxGgnQRQeSRtedVaBmaQh8z1//q2B3cZb4IQBSV42WUdEl2
Y4K8yql4te+8ogr/5nEjyOMHdeir71yr4tQlTrHNFUzkIqVCniz//7J3JtttY+mWfpW7ao5Y6A6a
QU0IkiApkepl2RMsyQ367hwAB8DT10dnZmWkb1TEzRrnIGJiWxRBAudv9v72xSUP51QLxS80td19
wDG8zweZfqGmqFm65Iv35JbvJhkKQIWS68KpgZKxsIu33FYcy8bsnhJwMLEMJhnx4Ny2rXJiK2/8
b+ySrUNiSsg4XXlYmwAgjTeWxbYjunBf1NJ5kpa1IHEKTFiDLsErk63fR9klhE6Vdb0Ph8WcD1UJ
t3jHQ1J/XUePZVpTWn0Ewywg9rOn6OqZOlbRpI3+XZQeaS84QEl7hZN6aGdq+hKjUgx9SB+QVNPu
T115rwNnuQAdF1dIVrXc6nmiKgz0sH5fCoUcoqSCRO5RB8+L8PBn2pCKPNW49MSwFQlFN8n2c4vv
lTHLWA4srzlM3ohDHZkDt2I8K4+H6AC6o4g6PFw4tYhjPQzWEgNnLONmyGb8Ox3Dj9LrhhfK3Z4B
xaK6aP7Zc8ygB3pgNj8CJwuPQiIP1EuxfrbQgT827TICQ0HmFPVo3hmam6MFZp/HJZObWLTVUdvE
A2WV5d2NpQsDvZwDIA2YgSh2jJp1/dgmUeoPAnEv/enou/2bliZi9gWVMcGV4rEK3eHQo/F8qNC4
gAvN6gCdQvnWV475xtay27INlBcNXG7H1N/eo7NjfKb0tmtQwFPRiHvCxFAe+Xl+Yh+z6Z1lJN7P
vwSUeRHyZfdmEba1F2RAbOHK9rsGsRM9MpGmUqXGbuIw3nuhmUe+l9a3PKiKHbdM8In1zTW+XPZ9
hNmI7bOVPi84r6c4N6f52fNmtddYjvl+hKO4Q3EdeFcQznLWlaF3PHHJHnOaar8MaX9a17Szb8ja
7QaoWu1xSTL12UC29Sy8fkBZ36/qZZ1Cqr20dD712ENjNDAmn+oKf9vj85dNOmB1rIr0hGag2pk6
09tJCAGtYS39DzJq3j2DNzK3+Ck9/OHfEUslMc+H9rFfNVsmspAvlYO8wE3QbRccrIglGqQbWdfG
V6xpVFQzArvKv3QiqS1QNhPY35A9Cg9nLfIbs5TN0Tdl8N0cnHsjoexWaP8oyJLl3nMX2JzGQFo5
8k4YbRPzI6ONs7kYjt68Mpta2tV79bCsgQdn3q8yThKy9ggxGLoYmmFF5jKF7SWZxfKBJd15KcvZ
/KHlaNAPhOIemWhceGIdLp2xlPqahJNRUxvZAfX31x4YhNqxjJsPlN7Ljywo6vtSCfvQT1O/kyzC
lweTdF53vHr0goF8ooXIJSopdDwkCZo+W7uyyFcdBTQtD6ZTo4cWjcWh9zcX33/WCn8Rdm6ZeEv9
Pydun98bwIjy91uFf/6zvy0WQvcaQG4iLnK5ga9D/H+4vgjYYT3A0cXzlTgexhv/XCywPQhNHxm5
C3ZH4L3+v4sF2/ktcCis+YlYtELH+bcCdtyftIx/OgMDZElEm+H7shGVBL7v/+JSRVfZdIZZhoeW
DMPDUMKESHN6MpIUsMbTwkUinVnUFU3sThUchmydX2qFaIdm/FMqgNB0eRh88+iiT7ZTu5/V5D5Y
zFQ2rDLuEkpfDuAEq9bcmntRK7qkTCavcEjq81Aax1X13TWfMuWEU48Gp1qygcrjItMsmsieqvsi
APmxQfTFeaQ8/PgrMdcskL2t4ec8LzsyewAron+bkwGppV66syxcWB+AA2eGokkRI0zzD0YD8fwQ
KkpeWHjZW95138vVaHx4olcxxZwXX5Cmf5SZT3JAVp2ZLxIDzfh+aav3fCYKRuN03irHVdvGXX6g
OYMTkKY3yRW4hVRfHGahvY0ykvqxQGNGIJs44DyoNj+VtzIXYD6lhqLpSStiTay2iEXY9q8eOEst
nGPHRGSTjLiYaKn8bYGjkwAenL0Zj0VqU/ywiDjq7pFYQHk00CtHToZjNgqZ9OravmMB+aW2YAUh
bGqmGPhFGmEvTJ/GQuav0+hXD1PlGTFi76TZdm5iPggNeZQKV2dVtDYW6S6lFwYgUlZaiU1QuTEZ
GMAMq8xsDlfBAEEbhbH4eP9N/8jRYxyl9tKvjCrbjT2k+y7zxlsJBDjnrthPS6JRsrO1oW++EWZz
Yxclai6Gl7vCrpHk2FRMdQ3k3cbRsZlGkm1qxnmIX9Qt1lUR96ybgC0NIrJarlk9J7HTNPbJGf3h
u0W6xgsi4HbXO1llksza102sSgb4cYEGcIw85KyxStYs33pmwYkX4sQkQx3Yekn3Q8V7g9IWJmiB
yA1LDabd0GMn0JMKCy+vec36cL1H7u5iU0Ri0MriBkmLez+6zYqNiRL882Jh6K2IfN6LVrd0/Ss1
P2P14m7qxuBbOohxlzfFg6xa+8Td0mxbsJfWmTa+vDDj8vEGywEpMIOINb+tWXreZLPBUDeoMX1N
mYvydDJii1AK3DQ2d4mfpl8T2BTXZVY/gqIw7QhAvX1HTpv5kAMtYFxrfbhVYh1QXtY7Bd8Eymct
7yu+Tptc2HFVtwtjd+tkapQChJdON2jag603y36nMyUjljy5RC7VD8ttN4i3LF3nHVfuE5jhlmEi
vIE2DQkXZIKI+M16rsOhJWd9PuBxpOCqujicnW9sIvXe642vjPaA0FAYYWEfTo5fbDMCoIGG36g6
+ZRgyw6wf+Ct+CD9fZO24QUESEXrNYr9vI7sQWbrUvbO99ZNw3M5MuiyOOr3wWwEh9Ya3kWg1Cm7
puspr8y+LWGomaAH6qFu7eWolFiJFCAuu64hJk+T+sqjmDhF4Xyb3CrcE9nrsYdMA1Ka8hzukfF5
zeo0hjdgXdB1ngs4YYxURnvXNMayBdrV7p2BtHpIGc1mEnJFETcyU8CHxGbkVLq62A3sALjv9m2n
hvPaWXK7rMsS+y48lnpGFUG8FZg/Kz/atd3cGtbioSWgOUEcZT3guFL37Et3TjjlR2O4jje1ieYL
W3d+YqdtEyBjMKpAzEiAzUhYTTml7HtLAmzwrAAsp7rAkoqa1b4G3UC3L+Jez3iuqmsQzvwzE8eb
F/uTv4x00pPEYs+SGXHV4ILIJCms+KGu8TrqZ9IOe5PsRVtSaKppuKv0jpCWK4+MQjdLd1OApXdG
frOBmN1DAGTABIEIdHnuJFEY3oaC4GuQ2iXC8+AR5ONb35TqACCeYVNGhPbYfKRr+NQZJG1qNKRh
zN47jeTiZUOkTHd4GOvk2M9gR6p+2wYkgk7mvT3kIMXm4ME0OVZaQqxqzlLQB/aMwb/7cNaHephA
MvBvLKt7qw27eFCmeew8Hg5aSlTdBAe9dHIqGGUl3UeICnLjGYrsgIUwzWA6TnTuh0rgGhyd7Blp
fBoxkUUHBbhmoyvIz9gRr1lp3JjhwhLCqlsVLSsq4EwaBtH1fjw3bbZbHZbhtZ+eltFz4751tr6L
ChwxJ+jcxGraMwD58C2fLExqAriZ702g7brmibXAHrUuWWQOqmGzCTlLh0ncY3x59BednWy7mDdO
EhwJh5y3sK8uc8tlFv6T6tcxUoYuDobHTGxgm7wU19wIZKQHPB3bqzY3QCq+B9v3DQ2AYtJvPQnb
/eJkEJonCMV7VwXPxjpZ3/Xgv3GmBE9MwX/8FGn8p/D8nxWefyppubyn79V78+0PKk/+3d8rT/Eb
0i8qTJdKEhCHRxH592hHh7CWKzcFpCNoDvPKU/w7sxHgAGolF+CAh7IF5A/l6j+AA+I3K0QfE0Bu
9kiFtP+tiBfX+lc+yrXyDG3qUX5e4An4jb8AqkrU07CC1vQYpGl16VzZEiqkJnXpOdq3Y2LO284i
UWOxmc9a6DcZ67CMF4gNUZyOL+hKjD3i3H47+YXKYWRbAKdZGmKjQbbKAZd+Rr7G1jpvU3HvNWZx
gxL84l+P8fx6oHeexZA6CarzkqIdln32IpK53Uh4bsjJJtZvlqIgWMSzlKg7x1Gz9xjToNjqZUye
O61tIw7FwnZR+WvfbLOGH7yxdRZ2EWJBkuLXLOF2yzGjxGadZgXGMrf9bJCzAVPyWrMIlG8vjp8F
n5WdnlQ1rHtwJ4+jb8RNTlLY4niMERYRYRtvQLNWMO1qDggHzvpyrZJGyqVuHm6zTqIi8IOoa81h
M83iZFQ55WbDAB7xXYk3Z1wjX8NGt7L6Rq3udJPI9taHmnNdK1KoqXTPnsaOCqYCO5SsDA2udV02
CX1qJu3ujbQwruFgONmWAuR7eHUJ5Gb4GfkCYuWfBeIctMslz2V9ydwluUUpLbYY1Xis1iSuA3Ym
wc6Ie4yZ77Mr/HPBMbeZFeEFAls1uVhVRFoG4t3iKXXrcFtJ/BabMceFtZQZQl53epgkMlvNWHWr
u7F6CvpkYqZSfhrL7DRb/BmzsO5gOwRmMLz6QCv5MF6zFpoaNNOQ/KgddiMpOAei/Dp47JnffvbR
DcRTGVIl2R7apWI+e22d70gKQxmigjVEKlhZd7QOrMHRYHWYVzdLPec7vcq9NsqDuzIprkJ9ZDi9
pbw+ynpso1EgtMVXcl80SVTm4kPrl0FNU2xkSbEyw2Y+yk4E4jyzm2RN17sWdgGOepLE1poJp5qG
+yBDXxkOHfj6BXFA7hCR2EC1SFDeI+w2dx3a82iGcLrp7GW90GFRkJFhP54cMlJYYuva/GYFzQ98
t+s29Iq95VhbhmybZimey+u8ZhzDnrEgBh1w11tj5YhYxgfABNMuVWp+GfNVHG1iI1s2/LulGwuW
nX16IMoke0LS+Jg500ciaAxSUsj2M/GI2FO4vUJagcSavvw8NJnsdyCljSIOBjdh8RnwQ6/LZaLk
Hp3yursnWXYE6sVM16yo2jf4Prp4MIr0bvbOiV5ee+z08Vp4zT3qZAMbIPtpcpECRRx0E3wuDZec
5+UCM2GJhpEA9ULLW2M1H5c5e9apljd8aoXJUJ2QlNeyIYvouixAPgcbpyNGtV4o2dBB5IW/4etP
svNk3pYCmds6LWf8nsdZmS/kt7JIQXy/rW37MZXFsTcNVq2d+WLnaGqJxWadTwOs9k2GL4FAQyvu
sUYigXh3E4NBVaXWKPNv6+wOGwFwkRVHknUIbWTKA+rrz5M0r1ZKthruGAZPodfs0woSB3cs2tNo
GRcqJuKaAsQ5DJ641RkqqH0Q4mZAyeAXek9AwFwAsGU3SqafI1nVY3qYLg2KwMgUvaD99EPF4DGc
ESng/UqKU7OqtPsERYZoEVuUHcFBDYlIhzal07q1yYieadNzF5zGEEzjziGQVvMIzUPcWyn7aKDq
2QIkY7nKwutVoBiYiS6Eu+J6OFjx8LYxABHnzjEm+xyks3ig27FwVzlqR/tuPZI6Kdh7EWJuxowR
2D0AqA10lBQIuNqySz5YcvUEgYcV6iWEeZmBpwH0fzQV61hF/jSZb0Ri5XA+s8binCA7CsuapN25
lc5gP5ZDz3Vp+gfGgmu0FoXemWrpAMY0yC0Cc1/4w8sw3XpEb+zSxDz7QdidXVIOaHONJFpyB82/
pDGH7V4T1rNcd/rpvK1RU28cF4ERkSVfujLU+6XQX63GQSEsHRryxSZ0sdcXIPM2E3X5kfsfECnD
02InOE39xd5OQ6ix6/XuBu1WTLrRA8Hzj0ULVpPh+72Flu+Q1b4XpbU0d2Pv+uSdzN4B820d5blz
SgLjEXNZGXm5hUCRbyT7g+4r+kLj+hmBrlo6ZyMzfc+X7GW1uvyHcHV2xLiBwbZq15uiHAij1+3w
agXmsi3gMfzAHsuWbExZ30Xqbx3rz+71P9Xf/yTU24GLzSDw/43r/vRdDf+1+d5QAP6++vv7v/t7
6Wf+Znoo66j8/OvM0WGq97fSLxC/BWC3PQAmEKf4P/XdP0o//zfqQd+8drtQuYl8+GfpZ/0mXOah
gY8yOhDgZ/4d1tRVqvzPkSMy6RBpkc3skoGo73tXyvjvQVO+a+BvoSpEeDGWe/wf6JBSL8cRxdN0
aJbj7y7P/d9+8H81I57FvBnU//5fPwvJX17PtSz7Cik0qdx+gvp+h8ss7DlxQgiPsVWqlL16WXx3
Hbd/mKymI1x70lsyzAgMH/lbCsD8FIRUBGJ8XSVMOj3ZTPenJJi2f/F7UWX/eh2YcsJnRe1tU4dT
n//+OgCdzYEq10Gs7eoLIaGaKtcImLqJgz24pzBcW6BNDizRvJq32XIWcjRPf/5L8Jn+t98BE6Ft
kjMJAfo6aP7971AGPahc9GZxl8+YxEqVnAKLOIU/f5U/+MTZ1AewqZDJowe8/vnvPgGfi1xkaxHE
TisOokRt6BJLpXN0nL1mTfbnr/YH7wkNEe8GEqbt8kX611eTtrRMNNZhHFKp7rHLVpti7Oy/eJUr
XvKXb1XIHXGFj8JNC+xfIKx2wvqVEaofC9yGm77k9COo4nGq869//nb+4OJxZHsooXg/IDZ/eSFh
IC39+fVNcPxvaqP4oXOWpCX2WqcoL/8fLwYUDDO2K65bhn+9dvPotghDXD9usaFGFWFVlD82aoUV
4vJceIc/fzn7+ln8ehWxzzgwCWlIneCXzyrHOLFKP/Xj3nBhojKtvdV+Yj6STOQdWxhHFAq9t88G
bR8gNoAnQ8r94VVOQzba3D8W5P0wCq6nrVN6icXCtqfzcoIKEjwQmMHu2M4GZH/1x7H4GUVXBwOY
opVZZauhVKFRsLZU6EzdzcJ7kHUtH/78PVp/cJ+H9OF2iCSLtvfX7+O1o9ICJXWcNpl9LBDoH6kL
TeoT8WKw3+uAXR8bmf5AjExGsl3alKhu8BeX+o++r3hUbGoEUhmcaxjD7+9BSZISfrcqjCvk/8fZ
zS8NzT4q88z7Cwztf38lfDScH3bgBIJr/csrgZtVGhF6EPtJXkfzyPKGPOwvKjPt3V9cWo91169f
IFS3BFBcRxUO6RS/PFr62nIM31Z+7IaTvYM3kwOZIafINr350QM6tbX74TnFcrArxoEwPTjffZR4
DQVa2c6adVBXxYvvo61Vo/CexnwS72Lqg4P2igGSVD8uT+hE3VsmbO1NCUYjhu8G/KqzxmLeV9BP
mfyixTBrfzya4RIcuowZWSibJTZ6hepe9vbOEeQa8BdN6nKBrj2J9QAZLa2t5DxmhbijJ5iLSGVg
4lLUp3QjQX6HuqB4v+4mjtCSqE4rGDELWVNYK3r/WDITeMud1b1jEJEfVsUKwkAruRGh9E6BaSdn
q1i2ZL8CiUq6+piR2xMpQIYbVNrdMzjC7s1G+vxORmGwSbO+sRl39GAXWtyAoFqXPQD26pCbQ/Fk
wBG7C8yauLjZ7/S2lDNGo1k7PTq1KTnLKUtewS7l8VT3ZMhpKEeYuh3aseITOtMQjYfRejfFIO+c
UDoXv862SLEOjmvUh2ZCBsITILUfLTY66C8zL7gxXUfd0XKZm5RuKFa9LGPeThcFE3qnBFnYVq0A
f05Tm88mazRELCEx5wilof6M29FORj8aIXjHVa+n75RMXBPtNLdZ1kBhqEbr0g8JyCvh2OOR2FX1
yVLN9CpIp+wRaSE4JHfNDF8p21g9iiYcXrBTusdxNKdIs/uKJAve237yYIQTpAOpIw2uywD0PAzg
U6tGGVe5V+fOFOSwEEKJq5nP2yYZES+1ocR74pUaeQP6NvoFi1avE+IziHFUQczQPjtZb2KIJYru
DtelKTYBDmyF9NlUAXmu+IIYWS3S20B/CV+1IkDq1aEh20ymWSA2KHgPfiL4xodToZ4qNk7s0DLd
ISGRyalmyVNhOfsBkAgelTnmTbpFN8HaNEDvw7akHJdbu6zRh3iD127zCigRNmtzk8Eeie2VAgcn
hV1/EPYB5xHGp7ENXdkf8TD4Gyctx8PEPO/srUBnNgV7m5j4oKvrBn3TNmiSC+siQHVOi/x+biCB
bTIt4ZdlweDljIOY6AENzddbW0uCgqz+hKtC3qQQJJ7gOgEYypf93PnZs22G8y7PuwGbKr2QNtp0
H/agpwJh1ny+c71NUeDjP0E6iA+oGonba1PrdXIC/4Zp4vcW/8AuH2VOfdr3X8KEDToFqtMfDUtK
VgGFzcZyugZlrELHRkDUbF+VXH3AQ2di40NkxUt2zEiv570KIsNUXr/DU8W12lj6EMDo/FY6q0jw
m2r9MBUmCiI+4qfEd2C8kVS808uUxQbRYjR/GWpvUQ8PUPGWA2rYOpZqDHaIMK19YDqgAO0QPy4F
4rxa7k1CBM1u9lGIybFwmeecUlgDN6ql247qVdMoqBQ8TpG8pMsEJEJa6Z1RLvYNHreQDDvPebFX
MeyqNHUItQWERVUukwNU25aGc0CFwl6IrDEjPeWlNW29juK4xjZxk3bTG64EdQpaUj459ZA7j6Th
SXz354FRzxh1rl63bZO7m9STBUZloyoi3AAt+TYU3o5YL8rpsx0Zt+uT3fvq3K1l/jHnPHFNtjUR
x3zOQhjQjILifyxsI3nrUjPd4BUM8eK5626WC1ugxV/PKZrWEblm3CoWzWGTkMXsEVRXP5pmWR3x
VHlHPYLHS1DkpStDuWqE0NA6nv6OMw2UZtmV9cq9ZlhvGDecs1upM3FDaos/m3BAbS4R0jPrthoc
BKLooqu9rMAriarV+9YNrzSdgYbC8rrNKuX0mMAEy/cgXkgzGHDZE7LzY/aIddO+eKZIWuOxJ3MS
Qtur9iwk+pYndhpV/ZmB30OXy1sWqMBPLKOLVp7gMR7+d6ttcQ/xzq8Y7xzK7qZ3yQlTvtrixXd3
s60hrozaufR6TB4b0J87P0mXmyJwz247sV0PDHBHjocbUI9gn0IQSv5iEcm5sPoWfbAvdOPpjTdr
7w1x+7xDgrfsfbTyzDPMlKmF2xgMyNql6V6oy+YHu8nhVnhOEstcg1TlYXPJa3yQFoOOJ1zw4jOh
n5Pcgu2VXA3CWmce5z2rKwuLm7/1ezhi6E5lOe28liuCXnn17yvReFgFeHh9mjKpPmy24bCw/FDi
6SuWGc9jAyhuUOuPxc4bBC2IdrU/vqO9whu5wHUaAnRxhSsxKomw36oF+DARSyYPnws3Yc9wUSUR
rt/yM8qZ/mTDrdpY47purEX3gMNTxA15uVzJh9zGDBTlmsx4N93XCYPSNg2NF6fSXcSYqb8nWjzY
K9xaJdwWq4Gy6MFWLUqF3gLB4RPs7ic/V/2h7ZivhwNaugH15WleCDOp+3EkE7nIeMqPTR/jVjbj
qQd9i3HMg39rGbtEKnOjO7sirqm278euyreNmTWf28BVu94VZLYvxQ0KdjR8Kmx/cCAxAG00UbUk
XryA54CRkSNe+S7ZIbqb1mxI0JBq3axraFIzimUP3Lg9BFVbH3WufrS23Z5mnVhPjhX2e2ku97mc
ytOyCsGg3MFta1nG9EraW/pDrCWx4nw2d32wEEIt+mSPGkc+rqJK9+z9v8E8Hi9WQyRLxQjx5IGd
AdJZjOVhnswZmDH5tmPSM5WtzYee7OgIc6i9X4Np3q+JQM2QumlzKgTfhGC2TabbI2A6u1j37ZwT
X7TkqHCGGlxoNDPVYiqftF9Bf1Q3OKjKYd8MXBHG4lWcNARQuVlLvnfm3ZTu+LbIuSX7ZL7MsHi+
ATseb/vO6bapVc0RveFldFq1CxOl3h3libg2wSDVYonL1njF84ELelw7wGdg2E9M59BudnO6TUev
fpnVPFxCX7exedVMoHc9NUstX9wuC0DxBjbG00l+6xu9cnJfc0dspsERyYfIS22ezVdd8MXvmvTB
gizKarwDTE0eAgsfs2q3DDKm+zmTnzrMJjizxtsMUVVULxo6HM/tdYDpUY0zTMk5yBExrfEUkidS
4ddTa+ef7RUFkp3n+QOFPULhFNLIsiZ4ihonsIkXaIi8NvJ95zfwncyvjZcfRm0Nx2qEFeNnygYC
6Kc7BBmcws7sHoZcrHFlNJsxhO7ZCn+/eAtxil1nBKewZVhtO7l/cKpnyCKgvsbS2tJCgVNDy0sp
X+6CNEx3XlYkcUZEY+zw+htZi6+47JI3v8YVj7MaSBRCz7VYD0isXpZBBWxSltNgjK9BYU/32XUP
MsnP4cAo1MmMr0HevtpOeW5y7ymFUwJNyLqD2fU9Lb9DapniPs/x2uXpM3YLPB99d+qEf5sL6wys
DfuYDywONu+t5Bt0C9C9jBPtBF/bmWDQ1K4jTilc5t0UE9Zbf1qdb4ziqn1g91Zk6av+qIc1MorF
4ANU+fOI1omnGOImWCMoifivf2fu/WVuxW1GxrVrgwNUtSujsZLFvqmzl8wOD6IGPRUUn8H3HYEv
VZFQzcXxSn53e8KL3k16N04Ly/8rJMU2RiJlBfOLrLcxm2iCqrzqseCuurLsPhg7HD29bA3waVCq
UdsiUt32RZYckBVOd02Yirul89X3oapChmYI4oFUnmDVefsp0Wtc6+SjdHwac9r95+G64bk2+dyy
4Bi/Zgye9zXpemlSi73ESHVaysqMbLyE11LK63eus2APqcjRUHMD0Q5CMsy55my7co5UM1OrdEkY
OXi9YyOlRYBMXdLVG9QwvOECvRmPgjHB1+A227Xl86ZvbTc4i54CL71zHc3M3ZZfJhJy1UCd38CL
3NSlPW5EwjMf23tEfMJjtjpnp0g+kVN3qb2EzCAUSVFqkKhV+JU8ZtmK6sRtXszBnSM5OZgdiu6t
sCaMUD52oLz98A33k1eZA0JAzuylU3xoRBN1tjPeA3qsX2eGoRtopNVB6tRiqYgrHo/RsukwSb/n
08jajwUOj5S2OPmNia3PJ0ivrzW1rS+/gLadYjSfvFOzQGBSTHeCwf0mq50WzUk1/vCXzLnL25nq
znOQfpsmQcDhPGyX0jw39Cz7gv7npGER6tGDLGvLeznQYIgu6N+yzgAexl47ZsTy1LMJ2CddH4kp
Rc5eD3eqN8bdzLNj52JQObf45in6Z/rm3JL9ZQXdvZH5XO7xQvVU//ITYiS02UiG9qzNgCokA4BL
7c3PtoHr0m86akmpCUBp/fbrzJs6+dKv0KjxkaIOYNMLIS/mvDUvXU9SfdqWzanuD9ANip3XtPbZ
XPqKJeZYnEuUuq9IBbzXYBbf4VzYW9tGKJkh5v8ESXk4gFkygNxN8kPz3b4HF+Wd2fR0GPHAr3cA
0eMZnFsETFJdxIiuzmWMs/WzDFNaj3mf3UnPe1SW8l9M4pkMGFU4anFOl1RkIogqR9XmZsy68ahq
TKwAez4vPaViysTra5ISWJ331gLdi1JooEWOw4IU23kpqJUKczx4fSMAv3veqZPD8nlcyazSEr48
t+/eVNaIt7wg9rYQeiuhoN7npiioFsvu5BM6uG2U9/ATKjwh3j+vSOQO9iQs+Lg+NOcC0kNrq/zs
zlIeCaDcNaGe9yghBb1ULW9aQragGknqSuFAHNCYnIoG+K8oLcT+a5Idu3WS8TjbXlxXg7jhdZbd
mJdZvApW5wjyA9ZTIX7sse23Tk41TwP2pJXtwH0srMibh29z6Og3q0y/NP5anXvMw5/wq3+jHZeP
IcZDYo2kQbaQMcIBLeV0Y5jqxbbFJ15WQSQPyT8YYQpnlMPKXZZIJozc7Fnlig9KZhfbNJgNNZLA
pno0mQXVhsXUMWelBsER+m3b7UXWJumeps/9NKbSAoXddrjtOaaTsoUn2IxID7KW3mphH/3ArKJ5
6Qwd4t/PuneErs4jzF+UaX3v7DKiFpcNclR5j+j1A4pJSKr46EVAnoCYu10LnIRUwyH0IWh3o39b
KqjaTUs+mkdYxHGaG0aifeLteqOtY8PImqhTiN9QIeanJVswyGGSQbVrtZqV7fpFKxdr+poubxnh
QsioC8mEw/vw5xblpQjBCztWulO1091VToJyc1pynMp0WgGW0SNfvwdCjjoLwEvag310stt0aord
2rbQbifSDckkYqJ6U6Hy87EsONPDUpjut6nQvX0y1nKJJ00uNhbG1X+zmtksd672Z7GDyJf/aPmS
+ZHTYau4hTW+PK916EM7Mw2Z7AJjhh7olrJ60x4KWmPRdHrrsD6bdurGxK1xOi6lu2Vr8lR4I8/M
UAL+TfpsXwTWvA1mDH9mg+uyVJ14ScoGs/50CWpLniofqHmLQJWvoVWt54bI9F3hE8O6cf1VwYdv
wFAPftW+8kLyBVdq+1Zen51YkC8Arct90XT+rchC9taWBohYBEPzuWM1ehpEbZPw57fL1m375GCJ
ZHrR/bI+lckEUgKCwxlLqLnThgsgHCUpyOqCKbsCOHawuhC79uDn4xYn+YoeZbF4JtYm569Bkke9
WcN6wrikjV3uX3fEbgavgPzOZI/6kFn60hOMBszDGlH1joAOodRUxL3r7t0r0YBdP5Py2ef5cxnr
YPwuG4E0ET15E49c6uCW8xt9RG7Lx0Qonl7loxeEdQytAxo/80s23WZ61gKza0pQA5McBLcExaOQ
MC4M3HHmwXhTU8KDlz3C3hCabNey6xEzp9suJ0ga2WMUGobaGnMJ34eggPIs0gIfda9eYdIVGVkS
oDtV3XnvHq3UIZwCO5IStLFGDMOubBgfaSkT7v+6iGuApru57/ithuwNnxjVjRjnnWFdLUqr/rYq
2z02M1jzdtVQDsEs60HHTGqtTRgk5r2yG4XINkCiMRqEb+SAi8mMQRFC3ML/Ye9MduRG0i39Lr1n
gfPQQG+cPoV7zHNoQ0QoQsZ5MhpJ49P3R2WhW6Wsm4na1+YCF5VSKNxJG85/zndOTpjd+wOlbs04
nhLXnI2YpwUEKarwDlVHXQUytz/mBsvFtspht3IG1wBIexMjSGK2w9kNenUIIE82LF4muYl8jA5K
2+0L8kd7B4NouBdTOLyGUZhj5Jbci5Hu9tbYBzec5eAHdCLcV7x9WxAnX3AC+mO0WDOIX0FjvBmV
yQcaLCd89PL2XDuCTITLmmduRkkAZK+KGhjhJDqifEUTDcOPwjWtmeR+sphbf5oZO1ZenbJmOm30
xF6q8MBh5YVpiesNEbdJejojI43bH5cwI1V4zqT9AkyoXpE/FeA7dlYadpfwWiZoM+vEJQFKQhY9
nsuMmtkU57hUk7z3ptY9VK1l3iCLBPzVMkK+kCh6XhDMiOicZaFCzZ1dYpBhmU7xSTHpmeO6r7de
6443SVluQXLKzeTgrqvxWJHF/qGW/qke5uipnieCfFJonDyiltU2sJbXqp5fFgl8wR0Ke5/SomJI
+m5CEi9xownpiQZNiIEOjKDMeJYTDdBRhnaJ7F7EWboQ40uweVSpux8abl2d8PJjaEZcZkcXpxk1
Js4FJ1hY/zjh4NiZA7sijpmwhXveTFEd9+GQb1w5YcINjRTeLFMV45rcqG6gb1ToOCga6YND+xP9
nVTa2rkPcSBL2wd/1HjzgsG36Mmo8HzHCB5EgRfQgLfSwVvPAub4j6Zou2NfCC6RsOFb6vgStz8Z
jo1BUJsaHHiI6b8TyJrmFPiv/F7LftCVXAcVXgMbehyc9cZSYlbB8IHi2Tmf2l4txNBho21LB44d
oyy2T6FeF8sCbhOefydxfrj0FXEUoq33kDNDYHtDL3nx5iJ4hcwXXDKRaq6w/Qf3DD6DC992nCfT
EwD8fc9Ic07V7iTpfpfR26jDhoOMUdVgoJbB5NkGrY7aj2invIp3i5xH3W2xHVlfbu06T3ilwB2b
OT74oMapPUSyusEhZzNioCBmwbroFp+d4ZkXyazno8lk5CGrvERs4Y5J9p3G/6apuLvx2rz8KIMl
QTGlzwHCtPuqDAdsiVSies+9aDm1lcv/X08RMkRpcGGK56oHDdA23kPUgP+hO8e13iV4r+PUDz/t
hKl/W8AkJMDXSXFrLC7abmrs7TTJnk0ZDT+a2m6eGSIlL5WosIzy7u8MySePiammooST5FHX2fJC
mjd9rYXNq6mzZHize8N/RwV2v5VSQxtocScmDtUQruQIvzhjQHDBtaiFcumopOx2B213/gEuBdAD
uk0M2IagiwzBdlFl5TwbXpVeOLOpr/ppit5yyy4wPEmYmjokfYDMTGjHGFpqq/vkfUFk4QVoyu4t
rIfktHDW5lC9lP2h4ACIT7eSKbAy75HNq/4aa9Vgzu2Jn9ucgjae14sdxzyafArjGwwcwgfM4eFD
s8yT6BKYNEWRX+PjgDDGst/tnKatbhmXgeucBXqXl5UcSmq7ah+0nEArgM4gYKyJOMcuztAre5jK
C3fS4cWckEHJXEpDcg5pwCCtAYtWbkG+3lB0VD7SYmOa26GomisWDEIcuL/8W5v+rObANXkmcWN3
3KKbCpcn7Kmy4JztB/Z3K++nOwTr6ZY2h+7BG4Pmy+tUeVWbdXFaVOL/II0WXiVD214KN8DGaFuj
88NTQ/NFp8oEc5VE2VuN9eQ173tJ3MoJen8bkvXBFjy5LqHQ2vGPPKp0LjEgfZReR8Q5bDxKSlzw
1fdGP7jPIqiqz1r0z7AW6riWnEgoM8KPF5TCIiXgdcXtoib9XoFECAjwVrXiPEXsLUB6X46SWvST
R0SPKPo08yGrduSAYfjtYp5yCJsAygcLiGs/J9m1ngcPHzZTV9YIUYd7R6TDmU7FPtgW6BX7ael4
dKp6rMrYpqDkYEviZhtg3ObV2MGD3vBI2NemChDsgoGYLiFD8TMQX2xFL19dS0PAqgJSQmPVN/cp
X1S4B9DsPkkGhHpnVl1AdfFEXXxEOup7LuoJcaVsg/xIot/hIGVLrfc8zbmkTJ49k+yVnP04iGr/
m2oiQostR/6zSJzpyR/WnS3yp4NYDFR7o7YiIDj6g7QIIbmAD2XD1Zr3hDMSvwHDBMv246Zjy0XH
npnjBG+CyofPXkwJkiUxttTXWEUs69IDhDqyF7i9D/nbd9NtgIJtk83qGXg4/A+PFvZWXL3atepd
K5yKSYcVNMPOTTOkM2nl3xPsthfQyTxwVmLAewzhKwOakXTfex1gaJyx529GRjeaQh8DZv00+K8L
8boNQwwub1WfVGvLc+F85uVgnjUcAi64KzhRj4TpnGIEo5oPAD3AMDDMC+uLSSgGZQHDtFs/Qs5k
BqnYTeg1/77k8JFQJ43+JQ/SCuM+p4kmbX84oxWdPcONTjluq9tpceiP59eWJ93L/kpr+LXMarnj
a3pJfcy0kO+tA3ebBvCSI9sfXTjiuYwAad2moXcDsCE72KITjyl0siy2pQECv7Kg6jK3T/e1dN+9
xtT3hp+73401PWrVJhwDSETKc/LVeV+ax2VqIsRfsv/01GCuF411XbaNcQ9J4++MGKv94V8tL5Hp
4oJi47Zdz3VX+8QvZqi0MIO2TbtwvdMzPOXGfBvAhLqBX0I3DbNZ82a0jPyJ1Btb6V8bJtx/Z5fA
gsIU1CbBYYW/+XsW2/BDmsLCg/bFcBP5bX8ce8kUwWRs70yzGSfcyRiMm/n4OS1sKb1S1b4dC2uj
+GZpbPDiMKwQO1sy/GXNgInORAf7u0F1ONcTGmAmB1mmorYSAdVbjr3vNicojMvVIDM4xCOjCg9t
0MGpRY07yQ7WFU7A7PWlgbBd2IdqLlaHs0UOEXTMBtgbkMLJe4STwmRs0tZtl/nfc5qcYiMYoTMY
LPh5UwcNwGacfpD4nL/56Ow1j/Lb9xah2brOmp1hGPyb06TiUeLjczmt46Hk3mDeuu6ssffn+qK2
sCxNGm8G5WzsStiyz5lUeh9Bhmp5mDoMTJCLRRTEVTpSRKcqf0fOa7wwG5nGzWycZ2B4VCkUHICd
PD/WOYzUv/72VyPpn34Fj4GWG/J/8eeszrlfHr2MvaQdoz46mH2bc8WBFFvGIc3l58UY7q159Lcj
m3O8sgZOIHHVFxMvddGbq1sPwc2zaACx5QR2rca38df/uj/b9iLMmeTgSRZFOFN/+3wFGp5vUXJ0
KCyEKkaRIro0k7r/mx9j/d6S7WPZgxpmrq8AS7v1289pGRi7MmmjA+NPqgBGOzCO09SrLWFu/8Pm
As8aWVAMaJGPTtTo32ccQuctwnhxxrMT3ZQ6LLDN8LK0Xl3dDI4yNT1ci7FzM/OxHQr5/NcfjfX7
Z8N6bVoemH/WoBDt5zeb5oo+R5Dg2VvbEHOAQhC0A2pUNnlStBt0f/c5Km4aM2veygX1jPkPcLOx
TE8a2MUWM4P+9PJovvz57/pvRO9vInqs2xHLw/9s0r75zGT6/qs/+59/5J+06eAfbF6comE544X+
BQoRWv9w8SC5zHAJ4Zl4pf+/P9v+B7SZFSkdkL/hceDBlY0aUizPwT9Cy7Z8/oy1LlBe9J/4s4OV
W/2v6wRWXUyZUE1DbJ5McX5bJ4hVhG5DEq0tGwxOnG1Z1HraFa/SoE93fSCjvWqtZBdVuF9JSFXJ
peUDkaF/vjsXeW7tkhmj5nYEyNlumBWqjW1Te0FUfgr6A49vfzVbGYJ5BGp/J4YhtOKa8pUTDQ/d
65J5JdYt8D2ZU4JMKfL+qKpx2I1SIdl0or7J3MAduLoOY7TF7Qg4jGkN7qFGuzhfGAwBgLFBF5yz
OUuAorXcCxLlGFdT3hcd7Zi0wG+qaDa+EqnIuJDMiT6yqCcRY070B3l5dmpUtNYBFktzGXqO/yLN
EM4tjkli3kUL+Z0xRj9KppVKbKFV5M8YBt+mxcyuyFo8opJAHRXVeIG9tH/3/SU9u3aX3if94D/4
i1temVluH2Y8YDuW2JT2j5ozrTbA5o7mxUBlKCOPetlFfHQ7C6QRLQg9Gk+dTvc9hKC4iMKrELrT
GSBbFgtZfII78jbMbLJ76otyNiZYNV4w6m/IOv5lSgCHkb5poGhhiiBWn+PNPRVNlhNhNB32Wqla
kEwNXp2zMQiOAnxo67WWbDoFgjNjSsBcQfhkicW89bWc7yPwgRFAw8xGVqe74qagmA4CeWXL9yZI
p+5i4iJz9oWw0RmaKbmhLm1lgnGWGzl65shUU2uVFBjBOePaE7gKPakVEQ4fYTsxB3A33NcYWE9y
lnmctGVFOwXQjYwZepVle9+lfcWe1mthJO3rbDTyb8ao7H0ip/oAurFZf6URk4eIwqd2kN7OwwKC
ul6NNwO3Pb5KLjiQJ+cQ1Bgus/EBBT2lZzBz7BflTf5zQ2gfv/DUW3er3feGAC1ocq9PmqOi6fVY
RS5+j4nB6suAOP3ReRnR8ix1dpQqiI55idaUDPErjXsYuyQ/dbkWXPl+dp8GKjwOQWEefdpQ9kQv
uRxRU9gcuzZYVZJy4Mb8YPeZoiNq3AfUrGFfnuOm0OO1GviMGTblb8Tx1K3XoD14Lh6iEI7kAC0B
lra1xV2w3BUwq2gaY1zvG30T97SSXkUlQ5xD6XkDbzUBucPU49fhbmkgULUc0pjNRUAPkHxmCnkN
c/oK8uSNJpr+ksaj+mrqovlCtBNoknwJuqNiJH1J/WGzpshCjIq2ldzkUlLxzAmkPqsMaX9vT1bG
bdPMgjuuzfKZCQ7J/hkY4pWMrP51tl08KFbPfroJqHM5ey1clIsptKWiPZEh6c5kZqS/QazPnAcZ
EgWTXt18EsDEEkERsO+3lyHPPtNiiwYG68UQ6TxfpPlaN5OLMewovHCxLDh+kkQ/pyz51tP0TRBN
5hw2EWyvTpnBXx+b1qif0nDNdaqherHs2a1OaZN1cLaK9c4P3wMOoGKZhi7iMOIIPFW+wJ+bDiqi
QiVmsX9WHZEuyxnktTGZ9VPZe0wDgcTCxgvL2fwMgjw4SGiMV73dFDS/Gcl+HPJkDWkuzk1jzfqj
hmv+VvYzAbd+ADjDW8QK2wrqp4b2ccpsUPaluUCSjku3az7FODR3hPaTr9zAQFhQv/PZA3oDMWby
F8PnZPxTYiKeDwx3PPmYIaOFMf60UMQDNpj5XssObnNABhSzZMd/is0K2Xt1BU67jMmff0zsmXlD
RUIahQNapH1RKUcR17azCSdQIZZHenFtrrSpO8DO/nnVRWLi2msDtgA5IKPiavYag+1FOPuWK1yN
oEkAAcBmc9A00sRm1PBVluKmZGxx2Ye9iA13nueN4dJfxRSZ93WS7Un5+SJxl3Bl1/NcXYEqnp68
rBNUH653+8W122/q542/L3glNnKaW7jYqnPOApvTwgxllQmqn5JB8VM+wMuuv5tul2v6j3T0kXYG
vpg2z6Z6g/EUXJJm6Bsd6FBybCQIzbyRG7nLyRBS2T3Su7S5knMfPic+XPutr5SgWo8FPrsJGrOn
Ugi+wkW+UL07tbY7XWHSmo6O5/MWSKM6w1vnGJ6Q3acHira7HN8zt6J0uA9mhd+17M33bljuXaQw
B0Njoh7MuaB0RhgrBnzI+2CM0V2QMOD1+u+90Ga5LciFvvTKU1HMlC8XR4qeRtC1nc/UCc8+QphJ
FUxs6kl/CQgBT541TA8DqdeCmgQ9PPiOGZ073uHNbNjuvSU798WQUXVmwXZPch11eHkvttOkr5ao
xBihfAC6oVdQF7yc7IEX9ucA7rMqG2D9ymFWyz8RJxVtPpWkOIqvEhI7o2e9lz2q4cEtXecHwTat
9piGKn3nCDN98gggr3+7GZ4Lq/LFIUOWecrn1Z4UmP5AITMDj36HGD7cGIGiHY/wafTSllF1tKCl
NnTgmR0hYMMiTpyAV5q3fsp5DVgMPWRbWYBA2RDbyqsbieV22IWjLKkK5NLe5yDlEIIU/IyeKTBn
iGhutzSOqzeARNWNshcDVE6yOHT5evJBLq7xHobE5GJcBEG2UxhuOX5wmsfswrw4Bq1Y3fBbd6ck
ZbZ99FuTKuwiVfJLkrWncExMUF4YpLvBsdED98peoWjEISIKCAQzZcH2F8ugIG6opqtgNtslZnCJ
j1N4VvtJtQoRW3z+zQkwOhYHd+q+049SHltuHN8VUXFSzDNBUjKxhkeC2auWXdt0GHdBz4s3BPP+
0kMseOEGTreWqZFXR6t5CqcOU3hJI7G1Y+rknategnuqxlxt06r+NF07YStL+teFMTsQqRVKPipf
Xc8FWOxNCgOPomXa8iq8wXR+wS0mjFCo7hbs3cIrnwwGkEUHezSgqE69ZarADSe48Vl7ARDnVacV
vbtFYeUCOBF1l4Ybiic1++mXwq1b0RBKyHXXqGYBGrnUPHqzqDoccT12FmErCahR0h8UWA4Ka2Lj
0BqVSp4BvQIqcFKIlz4O4ZbseGxUetktOj1wID0WZoG0Bqqr3nP9IqxgYpwHPTlQHRFSlUoHoUvS
OEDty6pCvkxZxEhcDHPMvs96UvBUnkToJMdBlO1lQ2PAI3WUFD9Q37Z1LHd+izq/ZFbcm92H6KuQ
Uvc0db7P1WogGHdYE5Y38LZfI60CKLWmOMrEHq1NuPaAbFwdej9biilfBc3MRI2R1kHr1AbjxLDy
1XLZjV7WkgIGzbPj3ZK0Di+WTNKp6PQl9XNiaAmyTFQbE5xkHvHRCm8GlssCsZ1IO1SrFdqgtbiJ
2iPWdyce2AMuZjJ/902UTc/JMK9STmlPMFs5ZeJkOHMXTw1AU9QBHg1ZkWnv4XxXSPnR9EjhKlWp
Xuc3Bycoqo/A4pBgZ4XrbSsavL56UiScOm2fv3sO+ztWIHhYynQAPBQMFm/Ndopw5dFQsQX8F90W
VNo/mLirsen5uAA2EyOsbz6gCeaFLb7aLQc0/RaGc/udqg3ejmCA/3TmxeNgmDEhfY98JR89ZPtL
5Tr2bTVb8olUFI5Kp1WwdR3ha/ZZOpHjEXTzgYLb+cjTAw+hSk316Q46yo7NkkVn6Kwou2aDk3PD
6CCkdFE7lC/nsPbg2tvpsSR2IqjEDMQr4p4fax6VblOqki9waJwBB0ptWO9RKNXJ8idm87TtAM4K
1yPYONB9WFaLTdbDZDy34UxI2DXS8pLGPBzRHTMBYJg4qaNDWrvVF4tE/k4+IbgqQzN3tgT56x2f
GXXABFnmeBws4nlzVicJkO/mWTLKPvOyumTPJ4Oxk2OdLAf+bkgNIVQ1xfgKh+oWqrhtbbMgwj5n
+TlV9GLR4glcXvQpopZXu0/94mMmlHfZt0SVN0EWzuD1ZG99OIqKaAislHYbTG5bzb0RxHy7o4Hk
3OO0BSACHToCBHfj5Et92wQ+eY3RILIeyZKFpW3yiwmxOSa/0L1HpRlsmlB53xhNLR9z2VUlowgt
rqiyyD9au8FFN5fQ82jOfrVBETxkk+D+Bxehux7bNpkONh1KlGAGNlVIvFimvR9MD/t51vdnm9di
N1fTEBJeOE4hh4K6fgDDXxK04ve+A4wTUqDUOuOWgUcAVg56cqxmIjwyddLjjAU33fZ+uaxoVZl+
+mCEGfEkBEC8oCKK5iwCrmJN+IIOqFvfwnxV8gU80tddPrBedJfC4dfgZGTRy1PgIxwmNlzwY+Oj
PRknny804fr1FuSstvOKCuya5ekX+eP2D5n01xB28LuiEJH3JuMM1pKktb/KGr8qj6HDB+uQtYQk
aOV37QQY1U19a7vUVnDKlpJwdg2w8a9/6J+V9gBKJlxLGEOBbTmrovuL3GlnVrMkQYF7PBXlJaeM
4ZYCJKbgJrVOTEXVniuZfyGnqfv665+8aoj/qhVznOCobzqMiFEbf5PZW89DLq3kcujC1uGoEzCK
mhvfOPfaYWZURsnKdkJf+q8U93dSnO+sgdv/WYq7VZ/qe/rV9/pf5Lg//tg/5Tj7Hzaz1lV481j5
f8ElBB7gA6AIjCMIyf/xv/wTl2D5gF0JgES25UE0sGEi/D85zgSyEKKzMymwA8+JrP9EjvuTXs3K
HyIXsiWtzb/hb0+x10baVK3qOMN4bwnjeRlyRBCCXCN1QhwWOjXvGSxctrXz/ZdP6t+8tX96jH/7
0ass/esLxBy8KEzZ7TBLcLRKqfNNsdO3RfIxdSAh//qn/WnCEgCBt8gLOx70Ctf+GRb/5cflyZj7
g1vr/ZgX7kl0yRBHiENAiuxir2X7aoK3P/BNdztMk+EuCsYgLlrT246+el0dIBt3Wfszi1s9BFde
PhN5Kr3NYCYvXZeQ5eoGqJdNfrYcbF5//a8HzPvbSw+vN7LCEDwGzwoP1G9rnN1XMvCZ/+48IP/H
wHFyuaGHHIPN6K7nqsUDmK7D7YI+dhupPHtwE2Kg81rnarNHm6p7LRaUizw0sXsQUXXcAzLAhyAp
jns7w4uJIjNP/Ld2NeV03JFHwixGsQpORWhD3YXobPPRwMDRE44F/G6UWypF8cndaXrRcgjS1Izd
u5iVhJ4+qLUlu0TWTlXbORlhN2bFXZAW922pH9zukzEw9XTz5tuczcshIKWx5dwcXDV9xJHcaouL
KCScZKc+vFUJbtQL+WWA4z+7veUc7NIWj35h3lFYvHKx+MlON5aXtpj1e14NUAaiHNUhHdgoQXpT
olOzHfvY+7eupbIb3UPQwffSHaGDs8tRQbb1jAQ8sTEll2HIUupGubydgKodl0rS8EvM8Ztj2kEs
6qy5CUk+cDxd9Wd0tm9IFNHOm1L7o/WW8atVg3karfNkp9P1ZC5UyJqwQ/fAMZs9PL3lVJMp3Jj+
QstGbZFYCtrPLMs/M9EQG+QiTms7eHvgDXeGbOlv0nRfFOVbFqanzsU7N1JTF/DVeFL3R0vyBwj7
c4kHiLxlf+iuuIDtZtU8Ehyr/xjOfJ//t/hq/s3La68q/a+bEEcNZBSfqD9sETbAdRr4y+sUMcTu
WnyjO1WWJHoJ3TSYhbshLbB0kaTxWboes8yeL5dUGd9WlBgKb0g3cpJ1SN6B8zTbY0yrR32eFDVP
tFroB6cwy4P0CFL6EQ6T1GmKF9kprI9zYv74+U79d1P7200tMlld/mpTq/P3j3/d0H7+kT82tACK
I7sFzzmkH8v/2Vk6wQ36P/8rAB/OrCIKSSUHbCq/8H8c5kuWhV0lWKfD/vq4/HO8ZEfsghxm+IOc
4CCQ/Ef4H8ZYvz2Y7Kc+uylADJjo7Lvrue2XB1MIUfhZbWM0VqM89lah4KwTj11vvLdOacjz1EGb
KqkPOtcjTUMcb8VFP4f5OTJrK1aops8hTMTPqDfxXmKe2jPqdZkA5PPZKGrQqq7hb1BXE9qlGPSI
eXknCnBLcGHrwLslxVqdDYC5W97iYBM0iWIAkCGUczFA83i2G/eT6uHYIXl9wjneHeyqtNAYzWLe
dxjzY43rCO0zsJ5KLwPb0xVpeUIara/aQi83nGur76pg0QV/6X/ojAscP2+6YTvH5bcykDat74pn
G2tw3Bsj2otW2baPkuKbV6mSNDI/NaFVjUJxbs2fo4lbAEFXvLiVnC6MeuXF+sSvu7oiFlzQbqYx
s+WWJqAJD+5GGWF4aMBZO5j5kI5X3oW6TemkPhqFX58bMal7zJ4wyf3apohsyO0njahJ2R6lQLkj
rmXqMkxLxuZgVMEtgvz4NOD6/urKrH/N/Mm9qxiX4RYJI9qTOge4WtPusKJmD2Ne2ReRrZ/zYOxu
sVdaLB2dd0HfhjoPVZJdjmlYP08MCpHQTaqqpGCcI4q477r8faLW4jpNQ4TCLrMsgG9TMD6w2gPw
bNOvBGxnvMB4iKXyu1efWhakYN1+95fkh851uGyDaH5J7fZYpB5kQ7vYZa1l3Y1hYe6yMC9u8wDo
sOvP7SV+Mvfs0MQC1AGXFhMBzJ0FzJKNhAN1jckOQ/vSrls0fKnvrae6QxsKumRmblNFSgFtZbrJ
9VQSGmElr+LBCi1q+wz7qtPBV9KfLfsVWI+JyTqKHhBzm1PpSbld4Dd7Gxs80Y6EhhAxTTT1suFL
qG6F3xTXUbrIQ2Qsmkg+7EkIQz2A5aYjwrHAN9RRshUmaEI8ueNWIBXGTgBISll8Qdyu7eiqmlQP
SAHuNCbXxNmqeqRLx/B/qMkNrwcA6pAEumjvD4yTUq7RFwO7zLUfBU/CzTrgIXj2siwgwMx2/Bih
TTEWrijxSI1u48sM15Xnw0hOyI3t8h7hq4NsvV9qHI2zhn9paJpHfdWYO3chPyloMLyq/EYf7U4F
hzKHy1AtcM7n/lA5QDmCcGmvkjBxtx6AQm8gAabn9rCIEbMzoL8c8B76ajzZzYeXQi+nAfeM+kRe
V5nFHXo2YVRDYjdFwMNP5e6pUmLMkGT1ObRN8JAZQCqUwnq8s7JuugcG8waU8KNeBDhWeSnr4Hs+
1v7tkhThsTV6d8+gLGHxWf/Gqg+deLLwkrbL/STde4BZ6L5lP2w5ZOoHEQFHcKaiZhulWXLOqk/H
a677DGw6cmEdW8qHywci/CVtJuaYVrHQC+WbTAHQ2YnPW2fGqMMJK7i7g8UdfA1hkez9xneukHd5
mThG7xIUlAeHI/XOnWnJcnVEFHIcsbB6zbLnOa5J3GpuCgwU5hdRwYKGtY73vuCEw0Gc8Da10GsX
vDyMDR6movEw8Vmc4y6g8i4H0LnLbSgWb4/2JTeJA4lUJ3rGg8m3rQuPuNdC35hlpMOhiMjXGQn+
q1YrTq0KeuLG9enRzUHd8l83mqpcqsQqc5hPNNsmL4hVS0zNensJ53A8md1cn+pyCkFMRPXH5NUD
rU7YWEBZmve85BSoYBhINhwHYYLM9uQ8+VkT2PGgy3ZX1DNBrMRNw2v6csJwl2ahs89HhOoZVAlZ
surJmbpu1+rsYJSW3vBBHJmwBFs2DO91rI07JadrTflXkuSYZzIs+qMG37GEfv7aC4TvqgzzONfD
sG+aPNwmfRlp0qXUQjl9KoETKN7/AbFP0jV6GGqPQElQ7gqTQU1KvQH9f+Mm56qmck/F0MMFGC/3
nC/gbrCDPNTLOJ+9hr0b0Iw7POCIytaZ2meBhnacwJRsE/qXoQzf5Q7YkSKnvBn/aB9nENFJIhC2
dVTSHhyPFdyjNZNKDNCVquK0y8DmLh2Dp9xv4VGM/AU4rFv92uYsGxvCt7l3HMm0xswlAFoO9IuV
SX8YzBUCYCb6G5W73r3pl+OZvx02GDG+UbwN4B8IdTyiw1zbldg1hpwYnAnaBgbD3HhlYhDilell
b5gQDZrCvQhy6lTBRrgvXhU5b9LJp23WhcWKJzpiGW8fRAnfVXeKri1rHCecGtB6XmngFecOD+dN
UOn23BiUPzB1B4bkzes2SIS8LKp6L7mwY2CW0b2EfElCXe18U70qe7xO8uqspny5tirBNSa12WbL
mgrHGtBl1GUNHbk5i+psmXR4UpYwOfISO0MMo592A3zOG4KVYPm4h1p4aocuh1pkFBBNrWWA9wsu
cw7bS7h0AsdB/mVJcE3wKBgcMQ2x+wdHTN1lS2fq7Ew/skAndP7BPZwSzz57ZE1rglnZ4NMgNg3v
C9vQV07p6rYlI3pr0Z49brRPDRM24XF5rOpweCzMyIG3o4vKJpOadXd6NInytnhsDIx8W2+oeo+a
NG0+s/SsJNhkPsiuJjFj6+lg2ijdSwhMXk19HmvIaw9Gkc4XVaiX6uALSqC2TiofW7T5WXbhTWh4
qt1UofEM1WyBN80RRZjtV9nO82NbBWWMSO3vlVuyeztOFd3hJnqeg/G2wfVN+CC9Rhzd+4rWkcFR
r9bQE3GvQD7VhXOHrtKs1CmAEwRTr+qk4tbKpDJ4zT1JqyzHCuEV3/PUBScogF5l5wFaADkuxYiR
6r/t4pKY4M2iDFrQS1gyeGpyb2XHQdggr0Yh8X1hpt/Z0J5xenxKD/r+PHnXrRDdXlhuFPs5kW5P
Lxb7LqewJKWo3KeOxV/0VUuiMk7wOGwd7XbXiZfuS+Zg6XaaccNGqauuheniDG87WvIMphvbHGvf
I8tveKnJFYL2HQ0XkTqqL2h8uHbc9JqccHY2Zmlss3FyjvRsmXec4vRDk5fL3h0n79Yi9edV+acr
OMBWs6vOii867kp15eeyORkpXFdJbnzjSVtuzdaJTomdrcXq1nwEs2vGTW+850ykjsShy0vkaLZo
Knp2+B2QKST4lWZJvUsJ1uOW43d3wj5hH9tmoswryc+VMXdvQM+C5zFh/bNH3C2EKwx6tHFw3feo
nTdRYlkrruM9LGv+vVHfkjWDgTUH/gW+Ex3Lbnjt8EPRke1tM3twYWhDNRngnSSmZbx4WRW+1tUa
bOxS46l2+23lrzd4GHrYjvnovij/wVlAPcjdhKcGLmFtMs9iwnjyu6I8Dh0eFIybR3rafT7USlwm
ZPRvg3ANgTfl1iHD90L7SHcJGal/a7IGe4zXreNTvzNYeBhK4CYiVZx0Pc8OgF+Ab0lMm7Sxx6wR
xTBSvEM7quSp1ml3R9FvuIXak9w7fetc+5loLziDTfeNXdYvvejlTzjBxvA8fW8bhL9HTKWfTWVB
Psz8+kfEJOEwT61LHIgTNEkF95I6KZJL9BNV75mdpZfeuOTexsIAc8bRnj0I8CMZw70ue5b047LU
tnjRSOhdW6VpHkgKmNdWgOCkoFdt/FTKi4ReHbSUmki1u1jUgQb2djKm6tPtVHRthK33rKG2wHSm
xch3lHyjhVbcF8x7HyjTsE/EuSAJ5FY28tEzg2L2mf1f9s5kOXLkyqK/0j+AMocDcADbmAcySAbn
3MDIJBPz7Bi/vg9UGkoydZu06LZetFaSqVjJJAOO5/fde+6WJwZwXbu8XIvooU3sHRAIkt5Aw1+6
CGnGaMcBrA4rdTXUxcVudXuml8PdzkHwPRRYqrB7RWpXZBOj22gFO3Qw790cG/wYMNuvw6za7ajN
+hy2iWL+VGSftOP84MpaL5B0/7vSgdz4XACPEWmxOxXG8aU3o/jg2PRoIyvWpxKOJm8NG1pWUbM4
kvF9agwFe3cmc2zxJl4fk82N9JOLnJu7XERyqajF2O7q/OTN1HyvKukfNTLmjTM06S/+ovU28Cv3
nLoRolumy4D4//QLbMRPTegdbBsulWrwQqxMtALyp5DN6UPOz6wIzkEUXiDkMDma/q2s4BOC7iVH
mzrxa2zA7hvmDIhPP6/jMHFvF+Q6lnpQHxhM1mT0h/NyySdUVXzXQ7V3vNw/l0QzIQJFxPMgB75E
kSRW5Y4kMiKeOTou2UXT1EfHQteAKWEEW9cgEJ5DBnhahUT/EgpHrYxaPCZTGOzsYOcNAfTcOj0F
ef+QDGrjhgOHy8RILgStAOZ0mYK53lEYRqBoGu8Su/1c6DgL9yG5dLR4Yqxq2k2tKbUacDnvmxkR
Fmba0i9p8UHNgpwQTkJPYxZRuCMuIefnNhNSLLNBvMOISg1iZcgt97zg4CU53hU7bh76BXaEJ7M+
9NChtgY5rANviuRk9qxS6z737uAj2PsWaxotP+FtD+BpKVsS4MvGzhxWGeoZQeNEyo1ZBi05Sl++
SsnwtPig6oyuzKzMSIZWRIIZfA9ReZN63rDqwn64Qcvz2MgZY//YOknxnhO9U9iczOBnExSzsQoi
FwStiGoM4+DAH/LGNK5UH+Q6PzZ2T+G3jghkzvziL2WeFpdEJ+YP3oDNpTJo2Zyjhm88SWtvNcfm
iLPN8N86uOgvsC/sbd1zb1kR7eF+Sq6VMEKTmnuM9HpP8bfCKDpCZdKqg3xVOldrtO1918vmJ/g1
lvUq6uL3ElsM5gFAZ21F0n/uOTz50fjnoDbLI40BHkj6AYOGsom/lq1GsW7sN+7SwwskvPxR14N9
SV1JiyK9NfNKiebO4nf6IHPJN0Pm6SWUw3eVJXLLTSg+RYAO7yaT/9aNoFswNffoBs7ixWKJfcfb
1tySqiTHHkT5apqMGyMREKGoPd+5DBYr3wSCjyvVp0SXniLG9ITHVlS+++hmo4E1WRJnpOCWlL3Y
YmLE2Rs6nFh9GB/URKTNb6xmTVfV06jSj6YabucpNoBfxF9paidHt25u8x5YO0HZulpZ42vL5cfj
GXYtc7rt/OlHWRfGiZR69PA/onvuv8vLR/7d/mlL+LMkcxiTpft9afjX/9n+dYm4+dAff/c/tn8C
kj+Q7Z+u322X8aW/q8vLP/mv/p//8f2vYM15kdj/raJ5/Ug+Wh19FH8nav7+VX8WNb3fpKugIP/J
4G656JO/a5rK/82GySCVI+Ak/16x+OclnSV+g/zt/9M6G+s35HHs9I4FCN0UjvPvLOmIUP2DqGlK
02fp67HudS0XY//fi5qlqEYDxyykhFzl2d4Ixja4lZnDtAdwTR2R3ElUYhojbeUnC3ipZsNQbHIu
D5e28WES5dRLQdRISVPRT3Kjaj8FfjlVpKTcAcLGeuZWTDq1y2V34+fjrnMTq2er5Q56PzUWSlxP
2neLu8wAcBbbkGWboWkwGRXqSClO1WxJc+VI/7S3vM/xOMIctxZChsfE1iAQ5nSLiCIIb0avV58W
vqptSMARj7rv3c8kc25ryuO3dEan9NqmgImgc117WdU/e2gqFNqPWf5Ma4f6zMnnkpIJQyBHslts
4w6d3DsCuiFapkt/nJfrekUmm+1WBYwCYHCfj48tuaM9dTSNvBHYmd+niSbkap7Gd8uzx2E1FKK6
xAi1YpOD6ulpddG0h6dSRhQ4a8OaNwoXekbeMcYs3zcmkfuwAG/CwVtzoJidD6LDtMIPUXjsseJy
WoAI7FHxGBIcuCgWfO+eNpMCq0Rk4pfyec7b1iLE3ud9N28MCnats9dPLYsv/GtQY8yiWdvLXNl1
GtFBat3yF+C8ok5lbPJdTT7g09IdpsfEru7R5+yvyDTHZ79zBP4n3p8wrfHYnKp0pg3cqoZxG2RD
9cJei8zzjAUa+11HT2Ax1fh6xNw5LxFooZe6rlJakmc/xk862+XVVEA0tnwH40s/6Oy+gIr0kJq4
t3bBBAs1inW7t8QYviXUy2GGlg4CH1Xe3Uj7HgbhV2SnvjkpczCNNR4ew9xh0JrkwbD75MNpWRiS
3EhD62ziV8KVhQ7P78zsgZESZXpq6x6nWOCpCWYAnWY9l8QWDoWeXARMEMkMhgqnLNyyYXxn6+vd
JLHvg670oWhse2wrFR9YujAYhdSAyNTEhbUf8rLhNjZw597qOg/TjSgNWFeJ391wH5OLguM9p0nL
bSBl2OH8b/N8qcac74MEw/p1DOuShWBrHeJaWfcmHcrnsRdRs8/agt4gk4ac90J26dl1DSi2Ztmo
nzR7uxsqTQGDor+RFw8mwCVitIDOOQUlykWp3v0wYSNOZSAk6LIzwBhwPfAHwDaSjqRaNkfYdzrZ
ITp0O1GKTpOvNSymuEGHV6KFMGnrKPHfxBDXr0CXvE/Ve/bZHXpy7sLgX54M5NXs0nvtemrh16VF
RnzSpv3hOjHyIQDEUqFRDXRZ+WPW3dXFDLct7Tr71PQ2XKo5495G7rLq3pwyaj+jJOROmXFHyPYN
50Cyk+ncWQdgsJMDn1XwJweY7DuAlcy357oKB+COsUvEJsL20K9H5Vd0fjsdDUQgbVrK7WLepNNM
4ngjK9mwwvewJK0wLC1LbKEnoMjCTxtsk7P/UdpG/JHCkgAv60fZF5oP8DE/tG4KnnDu0KKNfjZK
lRfXrZz9KMQMYroDkCYDy/7Z0AJ/502uss/jrOLmEjJq/jDmwoJHBQzbFADlPQygz3yiQMfmPp/K
opnLHS+T6T3tpuwCTkUMa4yUtssSJ5R7/M0Fa2K3/5k0mOJpwKvBv0wIF9GIQ6pLzI7rizZ7dRNm
an7ksHHyJ6I4wYeXGN4FxHPBH8D8cKJDJ32LJ4v1kqep312JLDdeazF2F+jDAg0efX9Fyx/4D0Zj
8Ek83zdCyPILDoHP5bqOJWQEfBjeiz0aCXVfIoeIw+IMroxdNDxmAyR/OIEFvvPbxp30wQ1K58kL
zMzcmEOHVsAFZ2NTolRs26SMzpYT/wi1mUNYjLngyKr7gN1UPXZDbxPvxE5IybbxaHOc5bjramzj
hHTJKIR+JrfdNPcfWJshD8SjVdyzESDX02MnY+OhnaNLWPFNw0KstjCovK1ZWWUBAVjb8aOwc6Bz
AMLiF9SGeWGgeRmQF986pqOksza1Z+ZPOQjzCx3TvcPibv0wjD6/l7Bod1Y9di9ZOHrxfR6xROKb
Z6YDYTAUP5IsHw9EEUaLTHEVfylc5usobkpva8wkVNa0iA7uU0ii/NfoxpLsTp7XP5zGdiEttW0T
LYSPbo2NtNSwUAOHHQFQm23WY/BdOUBIatYDwX3X9FQ5gvgJ+42nXU4t2zBJhyll8+JOg4OYuRTJ
3Ic24QfDY0p/2RlGrTyEXR89lTnsyMr0eqB+noNfQHfvcDqGAPpbaYCkscHUrpbnEAxk5hbc+xvr
Dvr5FbzWuAEd+VoC4KJ3GLknSnAWlrETnGMLOiz6nP01Rgncmsj3aOas6rXuKxBUUwxXjetrULvf
zhh/6tCmSzYGEKqDkDh3h2SdAKYf7VedcuHalhUnMbbN1sdtUtqDdbRxylprJK+kOg52gLaHtZ8E
tmUoh+VTNkHOCHG7z7uRaMZI8ZX3VZY1HWzS1OZLBOFhXlVCx85hSDNvvOAsLr4CcnGYlntGHTvK
aFfmKlfe2DphheSL5JBSObeVfU0KPEJ6xhnpbVweiBYeQJwcS03jb5Qk7jV1KKNzwE1tgt4HAebF
8pe38FAyz2o34zy1n0ZtwTeblU3VpyA+sbKdQF1I35Ov8YfCZItAfHYlmiJVN1NSGsYzkIWsplS+
j8u1h/u82Mg67udLveTdtjkfmHCTVxiWF2qhZW77JhyPVWwAWjYX83xGjhmPudlZmHa5Yx792Wq/
KaxjkaSygc8OdJ1jnre+teZEoFwN0Ip3N880G65mGHa3w1wRhNYS66g2u+gzr1rr5DQNgNeABMJn
JbViUPHL6Qe+F51sJgI2Psx7DxZcR9zA3XOZyhEdRcccGmIl3ecTRYdcn3VyazaetGBnW64CVqlO
KSyINb5Xrrelku0LQxSpQFrF5M+2npq3rtTRKcsdL9oU0pPxipfSeAlxBPEmYR8PEgvUmQk8ykzu
OpdG+pWlHL2plBHNGzPVjbrhCpYfncb0CHtw2EGcbpa3Hxd00BQjKIIVkdL51sl4TNcjZoZN7mSI
fTTivFh41lzMu3F59AwXUXioO9LybJkAqVdhufGIGS6sQf6VN+yHpviuMYPwdkzahn0++JcP1gP1
g6xyBYu7ccmnSqXZgPQzUn7eST4nvYNTOAWVKXZ9m2wa9A/quCJScQaD6YMTOsMZgots10FkUlDH
Me68pANTMUdGNFVstIu03nqR7eWUpCflN+4wGV9T/N78I8MyHSVRNVds2XT2waAQXKd+JB/oVRUo
Z3CCEwAa02eNkuaxWxAuotVixQE9aTYUkX5JA9tk4cU7+q4rp+AMh7Df8gg033nnmNch7WGUm5Wf
PUTzaDzLmg4DSSvkXva+/w2kTzxPhjecPccx3icRGKxk6mR+GMqke+f8ZVyway3tde61kNWoO4fl
ngvvKIpwei3jiWBQxzvmFftJpUH02Rn40Uwk6Z5OM/Z0tm9RSx5aBAWYlAV7H8HeDQYvjvEGjjTR
OuX2WI6A/lvHuJUq29UC4QtJgrcbQLuonvYBS7L4NGuVnp3OxuHW2SaUkTjJQJ5SrO7/6tkp/Gwb
hEn8kF0hty13qRealaJoTc5obMy9IKhnrPn0RvaJRDHxSMtIqmTnzMMAoxXFwjc+yqZ1D1MiM6/c
+HNGeDYqkplMxtxz3dlgsim9N9YEpnd1SuaSvc8nrbKJdZiOSxC/+3AKuEdTSLXioAHu6TFzt6G0
S4O6X1sdLZ4nPpgzeaWbiDASSSXL7q0LSVcGVhjJeMQ950nwvplPaTAFD6nPTHCfdeZcgF2b/VDe
ZDa79n3EVj/b5l7YbcGTC2WtrbyHjbTKSFazBitoLqhvo7lkPKrKuMMaYwKpuujEKoKTY7Z9dOcN
bkeKNQ6C4ZC0rAnG3ikeCKHWBnFnZpKnCfVt3vv15Fi7dqQ9/chKMU7eULeb/EDylTV/lXpT+yOf
J/HhwzdVy/7XCX6kKiwCRMfQdBmS6JII+b0P5Fex8beMmc1Yx2tTwquKNuEkxQ9L9ZjoG90M3Zra
5QWW4Uz+Da/vejikntmdbNpOm610WvNQCpnuNXkZvBOBGh+jQuf5cYpVInYRAjzgbLsLk9vSdgd3
jeYNLUentDDWRtQbGx0Oaj8R8AtOVoMnhgYej3cX7QBucCrgxtTwd7QE6sCbIU+3hqGy9n1ckExV
PU75bbb4fsliE6cm54K5vzpBdZr8Q+D5i7/eyd3ohZeUao/2qAvGHDEMN+x1SPyDNWn7/BkAkJ18
wivry4ew09OmUBUJcFYI5OhEq/r7pPZhbTHc2atmwgWwafnr2JsSlsN8MEM2M+fIYEOw9QLHtdkT
uHrnyqYG8eU1xplg0bufsChZ1eCL7yN6DH7mdlD9MKwRwZiE6H3Shtekr0W3aWKq0Ti+ieOsZqtP
9umoKsJJQVefJcmxlE+UEfzCcGPIIyBjbkZIDMTtdRZNP6ewsSxs9JRLMtv37amu++6xI4C77hS8
UK6XeJJ6qzbs1WBn1y6k5WZT+G16DkeeWKYWHIebwJvQ5+gl7D9b16PAEUcapeKlaigRmbgK00PT
NgQ5WtjVL21IAy52xWUnkpEyu5tAGctbDGLQJflq8NLYlQRcZOoiC9aG0WiuEX2XlGvhftUc/RRZ
1LJ9bjGQ8HglVfORG6o4Gi0Ymky5wY1bZW231vlsqlUWOk22mXPHuoNZb13ZFdv7uKKZJ2GzOn9a
Jj8ONaillWTUT/zk/YPth4KvL2mIpyO2PVaiGD/CVoQv4M716wS+INmb8NROvWW6R6pDJtxtHlmM
MO3hZacku+iJKim9gqHkVAIEemJkF7/rMOvMFmr/zuAv9lKHqX/2WE7mqzFlc4w1OKCmoOKyv2mb
QNUb7cQE5eY4Ef1m6LyAE7v21e8e6P81v+byB/0fEy4BbQiM3eRZ/ms35lMTV13zd7iPv33Z7+Kl
L/9UuY0lwFt4H39QL33zN9OBRQP5RlLyhoH8b8QP+zfHUQqYAF/iKWsxxP/Fkinp6YYjxX5rsSwJ
4f076qWt/oH4wXOEX4T1F35hyfgjlv//D5bMqkgNA8BYd7ADm6KFlFijgRUn74lDmf745ik/XPWE
87Eyw/OdS/09SvmaeN4b+35xDerlclQPXxpLwCoFAbjVo+o2hsE2cdR18YhPvz27fZisSg9a9tzD
rqTq40GxVNkMoDsORYuNEv7jxa1SyetiirYsLN4IENZ4BaZraYvvHBSlOcFA5nFs14VPwc2cGqzE
rQvvdblySqP+AY05XDmqHw+afA9BY6qMVtyZfsRtdjCgeTRZspxdA+cKKeH7kGeVTTS4eFFPWKDo
V8Gh4VpnndjAHY0KcAbvhpGct43BQ2TTS+CHTyJOP4aoeUsF4KpVz8R2C7rC2ZLNDja6ROiKuqnD
H2R3V/qEiT6l9k2lzPEoU6ejtWIqsez5zPG1GWPJcYEvDKvEMbtfSJSXZZLYmo3lPiB6C2CS0Taq
23Q/tU6+Loy6uHU52dZ4BijCrUPjoOzGPVG3UBEXq6FyDj4NYaifJ5GF6lOr6UfDyc+kMNcsJBF6
pZ/x31BGPzvlG7eBAjriD9RHxHpINoxA9i29HR3psvI7IfS9N/zavWso7NwNocXszsm1QmLx1qnr
2ts0KjoSocgeNW6Zq9fOX2y1qapIx/puyLr0zSqnN+47S4k3Q0rrw6DKW3Fj12lHqJg07IwSC4A6
+xUXXnpwS/+HrzN2oiCpgT5nAN0GE8Nin4sTwT4+AIRCD6JqonPsZk+xUk8uKNiTJzTclnCMn1qa
UTbspdJti7YD+SLMroOOvLVJZnQ9pz6Q9DhCPansZxey/9alk+AWytgrn1f/exSF3kJLyaHWl/gQ
NLSbvmqfSIY/RRN+PvqkEGLblwRk1aYXsHzbgs6m0bDfM0DXh0S3V9Opxm2quWioxGp3VILrF7Hc
4B3lXaFTPM1jco/HlM8sz/u6j2yC9z3jCXVdhDHHsQ2D28SSNf7IWcMvDuLFRjk11f1iX92ajmFs
qBDI7mCfZNvSDodjHlOqoPgM3oW6hVWMlfMQLtm/LIo4zvx2P+vqthNJQFg8Y80OOCO5srr39rLC
XkLW+8UM2/Ex9/PwNChPHEwdEmq01bMpEgnKk6aCLOHWzq+q3w7OhK00Tegc8jsjeMcGvKSQZX2D
1Bye5mlQ3KJ712baRtnfdEHzjcJQbMAf8NocZ/+icnt8QI5mbT3a6XYcOjLDreKS4Fl3ogloXAoc
Nov+ED8MJhvAqfK6O5HMORkVxbad+SvWM57UwS1h8SZwQ6rZfEBgQbQz2BACXy/JZvrVWrSBu+4V
np1UU+yxpsEqpkTAKRiqs5zbliEUZgKje51aXz13hK0ONNfAnxcuRmO2FygNItnHthsdE7eezjUa
7LMfV6QtS5RlhJNZXjOi9xd8KVy4IRa+4rJ+RWrGPagmKtLD4lC1432lwTj3ldlf4wFcshG3WMXI
W8PPHsv5RIp6RTt39RmToP3ukVjvXDKFJ39SwwHXDSJTUDlg8LJ0Z84h1apZdTEa70wHh8QgvtKh
8Jltc6i5E/IHqVcU70Dy5MKZ20DaY7vSR+6Z+1sCkTGobgJTJ3cRQfo1MvUNYmu/z21dvxaig+NU
5s1F11OHJYYVDFgVZBDEyDWl28lz7/NtLCS8axDNDyN4tI308JeV0xAfq6R74D1kLB7weucIJ/zE
ZM0wmxlP4VgLyim4QZWy0Hdl6jkbz5ux6xfUfhQyZiNFMKnG/PzgJGIB85BNakzXWDuuK1nPekst
jUn5vEH38dFwjG6jjdrhIuHle9Gkzc1o6HJl5JDJA1oXNvgAOIVj59s0MUP4KjPR63zW8+pnLD0a
7pIBUIlPgmjES0W3ZIKa37UzcSkE7TyAOl8WwYuwS96Ky/fAts/ahjHsfywY8tXreZozR9LnGMz+
bZpGMPVZdtkt0kI4fBqwiyDmYH95kpX3C8vCYtbm9DUPHmunLRnDOwA3/mpkJWhsErzwVzmwPcDD
bqC9JVdMHdWtK1TyUhGBxcftsIyYoxfWfXvmcxoyeCcUa2X47/MMhJqKia9y5AOlWrp1agCDyTgN
myITl7mfb3OuekB+VPLc6kYeO8OgxWD5TYNeCHYWLCagThw92i++Cjl/dm75o3dlwA91tnAWI3AB
iWGj5qRFfBqD8D6OWKJ7IgQ3YckHDFvoh0FP4LnoJUN6y9VmLgosla51aPu0eWKo15u5DWsMYRqB
eiw/hMEpxDUMAEOAgdr5nAooyrbzlXdQ8AK9FFdZzv/Haf+lPb3FLMGU+V/Pus9afzT/cd98fH23
0R939X/+yt/HXc/+DRQSjEWyLWqJyJKF/HMAyf0NOyqZWRCMjK5g6/467rKsZ7GqwFL+JTf7t3GX
2JJtC76SMLWJ1PJvJZD+MYxuUm9g2jwXCkGUXPiyyv/DsKsLYL5N5/T7KtH+I/mI6Y63H5wOy4+b
T8Of4TwKnyLhP/yg/kkgj+DVErn7YyQPOh+zt0kgj784Tq5/+JO7Fuba6PT9XtkUNcSN5VQf+FTY
uMS9aVPpU2HxXceIIG9ZlbDKH0FTp2vPzawOx/Qg1F5klSnXbWNl7wFiASB3kvPEHKZQr70GGUO0
lAWt0xyu3WGATdDAcjcNuLeDZmFZMX1/YoRfWXpqir3Etv2es5X5mErpv+QiyaMtG/n+YeJMr3g9
qvgcRxkNPpSa0hjQm7J7K2w33hEiY/+R52ebPrL9EO4mXHqYx4tP+GLrSEM0mEuz3LT0rPUZTjPI
PckDpgH31Z9VvbcCA8BDXvH8RnBByYmEKng2+iymWyQ0yuMEbW9Ne9q3W4LoYO21IyAsj5pKJYy+
0b0Xde6uHzEtwX2lZccsXuKYEoqhojrDHORjj0DMRlkScqqLtZNg9M7yEjg55dd3FABj5mF9IS1B
FdvQ8YVN7eyKig4OQ9PfAxw3WTej/MCFReDat8/CaTdtxLAfWs2+CLIdrgzaXxZELe1Qe6XwebbO
nPEP0b4igc/dDU1X35Df1sc5aJZQbtvh0ydvW5KthVFGfg05BGViiN0tNn+LiqtA77UTkqulyWdn
c7gdbcGL3IA0zoWg6/DJtgutN5LrORlZojuciGmQdPQwhVDJ8hSLCcb7TYOjaT8PDcY5ZEgkOOjp
NHwZ9hfjRnjobOQR11DGZSbucjQhVl+nOWvTTQFfaRPiVIYmviDSF9iPlaC6R3m4scEZ+JvUQ6bd
DpbdfrB/TUvSMAg8SzeC+x52tneL8m5+cs7nX9qlfIGXSOXQhxUROqNT4obyDJy4A/y3SyL9+qgn
zJ3CNk5wIqpTNOfla04Qgp910gAmEbOm3rJx6D5fgykn3UdplVLYIlV5n4P2W4CAzuLVoPtpg+vM
wWaazpD4TQv2A53He16WWb5Pjch7zB2joS6AGoFNrYpZbgE+aeqDXeXdisZitcWuo3+QEJ12dhhN
4Yl7KVu5WtTue6s9OCMBq/JL7VplRPOkgXw/eOLIcmvkfVuH+c3MA3UE7hxUbL29EC0os5/KpsEF
4cFghmruLaYYLORMGaaq4JXkZf/is0ymiIJCwMdUjXLhkdnNsPUcCjtO06DN77ImF6is3HxJKQbu
9jo37V80cwb+DgbN1KystiYZuponx7h6Sg871h3zOW0JvaHESRxtFCGkcLdpd3vqKMikLLkGTVEJ
c1fxHwtoZexeuxlvA99f3u6y2bhDF/hSYfrZ5tGNiUJYCcPeUVxirfJeZoc+8q07ZZOvrG32LprK
Q1hD6Y2v43TFGMxKR2BPzgENH5KqvhRqbu9pYviKUsS1pmzAMeksPAgC/7eF66Y7Kjf9nTvl1S7M
XWjfgaH3o9F6524e5VYPY/k5q6bfTYh2FzElpAfzKRhugjYdf+U5V54VinN89iOPcGOSeJhJ5mKi
D66ZHPPTxeh3ymSXnWkbuhtdegzxzYP/35jwXNR3XU6LvZr+HjzZBTWE7Wi8aQIuBbtiqI2m88x9
Cv560XcPvkW2YBXFgbcIbf1p7ubvyqo5PxBt7UWTDjZkId3b3rLXjp3OFg4NI9wOeRizwozye4P6
FXLiFpceASLzSowwtZ56SpI1UK1UH9Ow7n9qI+8u7dC16RaRo1yNsZ7uPIq315MuJVBDa3T5ZAUN
4PQ+/PT6hG6dwvEOloezhz2FoNJm4KeBeEONNV4AREU8O+PAv2HkAxwO6YUwfYvVPTh0GZ2FwF9P
qLx4j6WKIOs5v3g7UR6PLLPPmho9R/FJaY+E5sd1FXDL3sI9RTuP29AsNsZUN18x5aP03aSNuHEV
/EJUey7G26iBY4c807Odi7j+TGH6SjAk3Wa0RX2LyOz2U2xBlfJ5YPZO3RM5qhhP7W3f9x5M7TR/
oSJ2Wvej2RymDKgKrn/7vh3r4HPCG2o/tnXOMavnItKbUltipI4F3+sGeituPMMMm21aNfQEx1DZ
kk58VhFBEWdBt1BN0p/d2N+MTfFm4I/IlxyTZG3asixFj1WWuY/zroU6UXkeroU61k9DKqk3DMzE
vriti4VrUshSWT/U95NXPAQWLi8ct82mrXLjPtPERkdjaZSlbjb2bMrbmhiv0eKeqUOWyuGRjECy
HSAlnhPWo4bT9JAOY/D6bnSLQPBVu+PPifP9OLQuo4KQ0zGe0XnIauDXMkA8xiF6vZQZolY2bueu
cfZez2U+CGWwmSOyMmU0EkNzwpfQoliz1gMfgID7AzKPXg3abgEHGnN0zcdqWvIQO/gL2zhXJm0x
nbyJoEAR1yYcJQw3/hpD0LSQs/Vt1nrg8gxkonIc8U63bFZCNJl9RSvBht/QsGUWtNatWXAfG+fn
IANSBrZqCRHzg81oTL3F/g6nrK2eBycCa1SCBNc++TlGDfZuqtH7khT8nhPIIwZKzaqXNmoriPxu
SNGpA6oL/KkEmqwx8fjm0r4b+b2LIWPjJJt+pDSSQPo2Hd1w33DXIbPUWDzwse2cGRdaeA7LL5XK
cWeHT6K9V3FFUZipW2wSRTC8YwzNri61vWeqJNJf7egotgg5EeDeH14T4grQjMey3w2OoPPRZulB
U6MIfolopszPmahx1xnCHa/ZYG9wb6RpKDYjlEkAKOs07MVJhQugUybWB3DU+qYXcrzD452ykq4K
P+bnLdUp9HModj3Z61MoOyIivumchdebT+yPg++sDaiYrwouxLAz45SDyQyOiRbOKeRHLdYoUf42
tIz4xKPSxitBQ3i4J96d7nMhzRdYEz6mCRutJ59G2jllFn5RKCXoiyUxXPJLKPJ7vPHGE17e5IC0
RsX0mMz7Qkz9m00U7dzVJD/ZUamIZHVBFrWFH3fS9HFjuoqs+SlNpumbTpmcx9RL02uD2fLqk2Cu
qXlXSDZ50K0HRvsd9PP2xYNscgmiojhFVHnsJ7wipGYml9Qgn4PwLbZre5PnIiO2aIxP/ZDbh74g
wGL4lmaaVDAHoIbcsps2zyAU3TcDXwaNTnX5ZtnBkei8s1I6vDReom6kFxrztjacXvE5s0nyxBHu
K048c4WfNwYwZ9Gj7TbNvjQkA88QwEpza24Wq64lxLfKuDdQlOQE+SXw3WhPYUC9kn3BwJhP+qq0
MR/diu+gQDh5Zi+KCb5stPXEolaF25kOdPOeVwTvN6h0/cQBZqpN3sIAzDIy5T6h3J2yCloVKLS4
dHjZ127mfyTk37eg1zDww07YS2A7O5yj0RdDC9ldUqEQpOGSUS8yTgUVYENzrOq+feehna8G2iKp
p7FAxuYP8Qwhl6q8dIs4HGKss8J7ivzkZWhFP36UlhzJIY5xnT0aagjdjaZwhg7VjgveOgBlPSyd
8mNAH0/Pps7tNNq/8npj7wBou+b2ED6NlRn/msG87dG6MNHMgx3uu0a0D9UkzXdqWuynbhxgPE6N
JBExh8Q/kjguHsPciL7GQSUng63HR21LDQOH9l5+HZUar4IB9buxUNfCoWRbnMdjfZ0ak7NiriUH
NIM3p5qj65BgYMqR3bRWh9MhFx9p4NrPjhKqefJyW+lLUNa2Rc3wf1J3JstxI2m2fpWyu0ca4ADc
gc1dRARiJhkcRFHcwEhRwjzPePr7gcqslJRDVy1udbcWba1ScgoG3P/hnO8MIvcWxIsXZKg7enKw
4PDbwdRtGKEiMYs6Y2IGZvAm3HSsHGLq9qb22myScCwTnl5rIrJwU3AfngojdiVjoqpEWkOyKC4t
1H2VViochaViQlv0ZXCois6E+D+EOzJpSqZAonsRtEQwMcrqrrat20hDmjWmzaZsHOfUToEJMrsh
B9KV+ksMnfs5YItykFgoGGL32pNBaJXjSXeyPkFVGI99OwBkcrFUidmUt4Hl4Gw1gtHfW3HqVRMQ
ICrq8DwKa9hXTTfvO17Cl14FPbRdTV7IrK63mQbhjUXoTUS8zbGVEAC7vovvckuzrlxMoAlWwRZ/
ONiHaTU6FZJolSJrKeq55sRR/lUQOs9dEL4hBhxvu5JoiNVY1RmntcCVz8bc/YqhlJxgiOBbS0iQ
7IB9HmvH7T4OMU8OidPtxzgNgo0/SvMKtk9xjKA13CaF9TWwQiKHcUbfVZSzlzTrK6qrqPximVg5
o2AQ7KcS+TATjn2cA1338PsOjwnLolWDXfa68e34Usy16U111eReZpTtefStJbcMN6AMsvC2ZwCw
McuoIIUsHsoLiMP0tZqEdQsStd1OMyqoxinqm94ekkOhqo+dPkbFAsCCbxHBlvXGAl1fjfdum3Tt
/BLKlAz6sdPXSWpSA4HweCJsR1z1PVOMlKTHp0hV/vP7EBTZUnPgWu3vpgC1WEQtdp23AdzSxm+v
Olhf9y1VXoKBDTf5jCr3aFoWLAZIpR/6hvNelUX3HEV17vlzG71M7DTJXnNpqY28V1eOollb9RNP
V8StssFEj2fJ5U5xBlxtOOf1leknW8x+8VWOH/AxdezmCNg7ftQK3ldNKDM6QSiRzuKFy0LTuChX
F0d/oVpAdE8fxqkUVyFRcF+tYQQtEOm5QOwat9d6xp0Httw335wgocOC61+f9IA902pG2rnXeKMZ
npn2gGPbNkGqXyVtsMERWH5sx7Jy6btG4z6xp/JB1dDrY6Ck40q9y/5Gt8qfGizxL0OrIwl0EZHE
pwZ9+GXm9Huc30WDsLAREDKutOptnKAIDtqB/goXiPnayxyKvMjmZV1WvKAkKjfgNtXHgvizNXaw
4hxQqaGo4+zgG4qzTZIjj41Ym9y5Gqe3IWu0k3bfIGlrepZzffvSZV1/MhZ9ZCMc32uKKN1PnYl6
ctFRNg4HRhFE5VOt9GgbJJl2Z6eJvY5JU1sZisUXnsA1Fob8DX6aHK8RT4X2noUK8k70CNOqGwLj
kQRadJxlMkZfex0YP0K/yYOzMsqVPw+As4p8mj4m9JCbAOXOHpwxUlZ++ICa4F0rKsLGyrZUAfV5
0vvwk3Aj40HFOW+gyJj5HrSmuJsKpxkZBAX5o5VVX5t3JWqlpvxlRm30taAGBRKgcQz52gxHuCJp
rNe0nUTRmgQMtoyCeDI1oWe2YZVxNa+HlgjDYZHEUow9csgUS9bUve4PYhdAoj8FMRJaYFm4XiHh
bzSJua8jEjbsnLs2aqwb3/Szsx5YQluZ79rc0U8OdpvnJ9zm8gBMhLcD+nz7OGd1h8EyNJdrKtuS
Dww/RRHpXpAUnXOxn8Zucq6iYAo3DD3qneH6+iu53MFraSyk7QS/Gh+fVicZ6vZVTwdF4pbZ3sWT
ukxzaOy4m4c78tWZmrcG/rVOs4ddqrno0BhK3dhCv1lmQp90SA6oGcvBMDeJlsc3VHYLX5bzihAP
B0b10NghRoHQCogwovFErTVbzN/mdmOy6H/EcZ/KlTvU8pbSILXgTif+jYgjqAeDavYtAM91jAh3
Y2LZIdlj4rlMydpoU2Ap23ZuQaBEXVGfrHrZD1mdAMMX9AKEd9l8iidTv0KDmzQrSDIc4FZv35pR
V10B6cPcAEvlEgLYvNJLDYeJ7xbq1OG92gMci48CA9AJX0Z5iqzIuZNGWm7zAc7xRuQ8p1PTtzcM
15rWs82GksZR6Liqnvhg4O9l7AXW9NmdwSggIDfXcyD0N20OkkPvz/695GRaSdUhfqzKWZDX7CTb
IO6CbW3rM1tWpm+hUEW1MuLMuRqTtrydNWKNV92S1R1qZr6XsDhexj5Vx5IEyQ84GzkFxwIrgTAl
5geGVwQFaGVzQ08gHmU4WQS66j01F5GzZsNl1hYI0EHf0O4hm6yF9sFp+2YVTxCkgTwF/DaJ6kBu
kI63yhfpupoc7dCmsjxqBVDXSQNnrEcUIOSZRZsmi1miu82edp2Mpay66fWi3dYJyg1jHrlI+auN
2RN5YjqqYWumXKebPIzLCa4tkbuWGfKMk32LsJJl6K5Lqtrg4oGrYZCF/oiS23gEThls0m6KQ6j8
9RywZo0jT6XoYVfWEJUPZG5k+jaym3HazIrYlK2GXb049RiVGcmWBUlgGcMPxOdJoH2Eyt6w0Efi
jT6a4cA6JEvwbp7COjqhAYjuQzVjfEtdjWHvDHhs2MRV1H2NVTbviDWUz4mY5Z0zuoWxVXmqkcQR
S7SmNvQIJiFV6GLbTqVAA+865h2ZBJTIgxvB+0gct/zYWWb82msEj2JlGXTrMC6KquPMqP8hsub8
qTKBAGtxXt2MncmaObCr5haJGmJgASXsUg4M4sx+Qbkn7SfbgGDsO6A0oVq5z1phhmCMR+A2pjKP
jSOyx7ghyQEJ11htOxkKDyJQyiClPfAqzF6D0xDCABI51C5ucd+2/biBzzI/ML60j04l1MWcMMNs
4gESSYDglBjVynTemBpIGzCiQIOs16wOtBGhAma2gXgdnIXzug6K8SlyJBcEI9Tpqs0s5XXhbVSq
rtsEuXQfktbPzwHGOiuRdbIReBKuQKNP4x5+V5mtohlNuhMCpGBBPHYN3FukqSumzvYtMFwTFc0w
peht1ITkGJykAN9ZOEh6TLPA2D5N4pJabntrTmL+yOB8uNVkl08YftNdhKln1zal+cFMkvEGorDl
RQ5ZGtsCvgnAGju+weg60ZcPjnxuyyT8FI0yPcGK7y+1JpKKEaQRWqfKGdm6GMYCzw5huQL+ocpa
t0rrn4iYRVEvKa63oT3GyIej8WZ0a/z9ykqI7k14IW4LIlG0dVCK4M03CHBZR5Zh3Ac+g15y7/Ts
Po4UcEfNp4F25WxznZKdJ92QRmrMTPu6LoyGhXahs9U185tJs/MYnWNUfZoxuFzLOa7o5StHXunk
NzDGyZs4R+JQGR9k6IpThIAPYhgxk+Gq6Zh/YiTK1DGeNP9zlGTzSwnC2vKIJaf37PVq0bDPbLrl
ZNLGzXWffuTd1vfrnExmavq8GW8a2OCfB61dDjgeItvgP1LKFAfTaOcrUDEojEIfuESVNSfOdi6g
xtXfGqurw41bcPMNJa4JqUXl7SjRI404Ec/W0PYHVsTd16azop3kbVutQJyzia/acfwiY7D2ddpt
6CHSeN3KNt8DqFBHm3ObPX2R3luok4+awNhFnnz3lsdLWsGMiHZXpnq+jy015psRfP+LgdAs9FBs
FHe0SEy/y7z5QC6xc+tQnX2eS6XuwaDzf2rOoSboqyfMUBMtnk+0mhOpRju2GNu9jtfwPh+a9jM3
UIb9Tg3ugzYbJqE9WS0ij+S+S5ep5q4oEpvtAWcLu+zOsiCFte0lM1V6Kg0+CDx6tAqIhb3IMWea
oE9Z94yUB82tbvTiik14s0Vghm6ErJH0Du8ikTKhG4vy3vcLhBQkNO1Cihu8YZG8ZbmVH1LdCO8a
LD5rkYzIhnryb2qrIN2iNog4CclZyvpJHvmwAD99pb2OuAPW/PUp9PvEI1MTMao7O9edmufLNGZv
FTnuWdIF64rYl7WI3elKEgcN8twkJL1QBQRZ936KSDJJCALlZmR0eWgb3Y5X5jBGXix0+WAO/Fyu
VDw80+IMSHmuVzVYqG1P+8qGpmPCoUWZf2gp259VWEjipXXAg5Y51ncWBT2dQGpr/crBPrzqx7E8
Rj0hRavJDRq0sWN9Zrv6uajJyV2VbWPfhIFQV4MsrNuRccZzDlEZtC2+j5Z2l/UN+drqOBCDwKnq
Xwo0S+uARGsPeZv4WoLlgpyjL7m6RtFARWPsXi9ImGHKANCJ4NRpKv9owq2l6HQpWcIlfMsQAyJj
ti1YSo3ykX1qe8h4fdHpAQAew9rZ6BDKPWfSnWKnm7bFbRoQMxu1bfYsTb+5YnfYeamcnK99k8O9
1JKUWbDhfNJVqNerqUuJ3kBT7R5hYVHIqpi9lTl3dDDCCIdTg10PNGWFbZdtDuPe0n4pbXJXSBBp
tYOvoV6xmJFEWPoSAjhHm0POVVU5YnkL7+2cnQ9GzuEhUqP1VgzT+ApJsn3AZ9fVK5mMy/nv591Z
urFToA0fx+cqWeIdOBUQYXPm0eFl9HirPuYw7jtHsYdJWpOLJmnDq0HT9dfUBEziDaWPn7SeuLim
3JUHHxcFyCsTDBx3MPDBEsDlZLcBN1cekAnS2KW1ITMbJmDsp9NHEGGCvU3oboUoufMJHG89HDCF
vy58oSG6VNF81UX+4ocaRHJUrmyOwdhkxEonk/qMnyxilqez8cO2UXBbiaj0tZXhTsCfskUhzaAt
aXmbc4utkNEs9nLZmdXZHUe+DGCIYO834DLWGS7xD2lfs0cReYKkSo3FqvU17cCQPVMEgzXL/zDw
0K38LhIf2NmaKQ4ekZEBmtv2WwVi7rpkg3rL5UXtknJdrnybq/3Q6sQNbJSYxyfmzSAzIL09BEt3
lTnE8hEcNLZrxH8C9aK+hDCk+pXj9uItsYrlEkvRhfvkaa2R9Pb+1kZFsHYZDp/mTDeO0G/Ga6Di
2GCI8t6Q7l3gL6qFBzXW4MnqYazEw62lMRkNm4HuuiHyPK+Pk5+nuK5yDTeF0WyGqeq/GKUdIySs
o2sYMpxfM8AhpXRCdPtSELHC/4dEHz0mrln9SSeYBkBfmFwl9SC8otXRYlZAEaK1abdPYVfOt3Xf
5+cC3AlrdINMTVIXDqmh9M9pSXR5UDr1GQ1leANwJq7XZTREG2zk82ccAeGehCJ1wOCLpwXV3noo
usDevus4/mMq9+9F7v/3fxHDw5CGxaIDqfl/pQ96SQB5oLj6Jjk6vJFQ+fvH/qoQMsBvCAddu0Ai
pKP7+U4hZENQETowYsNRSGh+g3mQjSmVEIt+3nhPQv1dH+T8wj8gQkeVraOk56N+Y5n8KswBg/KN
bfLr378Pq5DqJzm8RVYEX551qFRsNCx90fF8pxAKfaAbtimZEMQ2MA8a4YH0McTlO9dX9ksz+eLW
mAiAhLygc9DN+bjWk0mKLXoIIs5tNZyBDERomTmnUGZUnG4fOnAfOYO5NettexPKitDutuxfw6ij
to8jU67iNuD6YYTPWJE1EPfklDmLAChCY58a5jZvq/lGmCAt0spilZ53fBeQ9OhkZDd6ejLstbys
vwR1j1+U0ZUPGI0lZuoazrXedtE5II7Pm+jjKfy7apsJpHtWm0Ve08bOiVw31KLhjGrIiLVdGJvu
W8yiD5RbNelbo/GtXTF1+r2ao+gmKRHy8JtRm8wcE7Wy2mE+akYkNjpd8lbMKhdrM6X95MasX1JS
RzFLBtATM6dC7xT0UzKsQ6tHjWp3zi3VX7AB9VlcQB+Ur3qWVtfgeM/WTDHv6lczQZUrnIb7eUrP
fa9OxNzdhlqHNMXqLipPIB6W9YZbqwVzgPZFBvVhcOIRzS0mrhR3UVZelc44tACffPnQ2koiOYWL
oG8MK7oVhAPUyYKSZbi/8XNWAIStODQC2eQCqGLuRS9DNOmLZmrT1VTX/jMMe5vYNqe8zI0B73YW
mnxIoV4c63hq9qPUdPbbDHWAaprBZnKoLlfCNZKDzEa17wnX26dB13/oTWIoViTGJNh4Zlp9UzNg
oNDUF6LSPjdm62PNsAX3J9bTVZcP6uNA53oCWDGgdw+ZZNBoAP8Cev0GnpklJ+/KPbszHKSFHeY7
vbDz5x5NKrBZCK0pWu7Xuiw+IWlRn1x3VjuV5cldllj9haEN88poIBCHQdo5jyp1jlP8zpXBFo7r
7ewXY8Amcsy3dWVqe1cfiFJiUHaraOkj5ucscukTeUfbdP1EDXbXTs7Zn44WdQk7j3FtqMwAilgX
0wpzoXpslQiRt7lDeECONN2PUQCJcmiMizBSaFcsePsXyokB4zwQDnPGnNonc/s8ZIv2A1PZnm2s
+dDoDgNIwraGG7ye9XMqQfmtk3hmAtOPml1dQ/OFT+YPmbakDRCKx/xb8xJzYB7i0znvtZboGABe
fJnclsOllzJ7tAqtRh2k8auoWBiHXkPlaZFraRanmfZjbSLdP6oYraoWYeTmuCDCMAHgdw1Lmgkz
sa+XgeHYuceGcxmNnpQrQkSme8zNxtFK2qbFeGsUn/EMBTd6O4XAZIxYbHvWCl40KspCzGLaCQFy
xQVnDIXBF2XCx34mv/KZ+19Q2uG/8cfcYxaXbgy4OXuFFbLatdpQ0obTGyDiKs9h5oQkNbWjv2Ke
YG4dG+oGtXsanUXsiy3qF3k2wmY86XUbUsKK9gx+Z7gKkck/2yXXLjVP0ZtrMX0ofYu6yC5N/8Go
M/FqiJm9/VC55LpWNbVmOW4ighQ2UQodV0UGz9Y0ZMm1H6TDrdMZ4+1k20PLAwc2BJCX2nCkehg+
9rDoauwgfXhmb6rv3cTuj7Tq1cWQbnaJbGU/VuwZH3FKFV8GsyQNch4LsfdnR7tXSBRuejqlRyQ2
BHEa5RCfcLg0+FxUfMKcxVs6N8kTTNDvFMZQPtoFQZ/EndaPEWIN3hQsW+CkpLMH+ktuY3KYdyJO
QuQa4QAwPmjYuNUUixrDxntLMf+EXU5wl+kM0wFFmnkOMsjCE4izneO2UDGYHmwCvH+HuO7cp1yr
1bZqRHdXQcC58Ff/wOhDPUWDke2yoA63oKOrayGb7rqXaf46qbbfWobInln045NBiXkhejDaiVGL
wB0kgne7bL0FYSZR/StxqJOeUV+VZWiQ0iQ8JlPaHcveqhZHYH2ACJldymqky0uiz6IeHbjwzbEE
P7dT3GqZXzyX5ozzcOrUXYCBN8jAzTmhCh4ARPZf8kYfNrI2x11bD3nKVldUhiehyCpMUyEA59oa
hq02mcwt2tosz6XS2vVsIedncB7AFAYb4TNl2Nsxm6OMYt0yn+qpPrJA0a6Mot9ngUP4VoRiSKvr
PUe1xyg0X2dxVu3dMmOfWhv12hhTMsEQ27FMNHTbTI+JSZvKpKfNkIJ0tH8iJDYnAdV0CLH78LMY
Qe7VRHWtwrp+1pdJc9+xgls7gzmWEJDt4b4Gur7pLDF7ohqQirpZf2dqtZ2BkCzcPQLDCVO2Q1Yl
4ojVgEAfudsqRSN00Rvus7ID4+y7onzFTJIdWTkZHjEG9gPjIgYbY2ldhQy3NlPhlxujyacTnf6u
Ned5L1HH7HKW3U/G6L8hDeTT+i/hyCCeyFWPV0XbtwWDPsb5lV34B9ewCgCGGhNNO8E9HRf6vTX1
DZNkVFc3ocongo4du6M3CslOkPlo4E0ipwClnvZ19Gt5NERRP/J8VGfllN3eZKTPNdMVb6AL+70j
SnVsRTm/1KHNRDHML35iLMNUohCDPvPv+QVkvKYCyFCV1M4La0ymyE0VXrNAJgEFZAgq09FATDgX
l9TM9XODhPdpwEnl9WFQAkzU+r7cDiJu9lAaRp3DSXe/ZpppEs+pYUSjJYMJb9aLzMkZIg+AE3RJ
mUfhIbdy7U6BtYw89E39Ph+XRSktsYTPBqPnjvoiyq9SIl/DjZZhjVpxDKzDA+v/GbwtOQTDDY1f
fRzcOr2F7xF9yThxplVoScIYxwqagSmjD2aWkW1JuYvI1TAeGtWn21HkM4rsBGdD5ofR1ozp8bQi
0j3T1aN1BTpjT3AxPB01lHfNMNxoEDTykiCEsW4O+NKLTYfzA4DomKxaSov1YmFb180wvg3ROH4d
SvHWRHb9rNL+RZYgFjCQBcUNGzzJkL9r97OKInZ75nBWpDZSrOr9abZEvSl8FjKqCcH7oJJj9NGZ
R7NyHsQ8ZMwUhsQT8EMAnOfNJmxYIYKWDTZ2aufbEFXwKc7zgdxsX9v5xaDdI8Rrd4NtSOQcuYRG
PPlvOOrNLc9osMvD2eTX0GUPkV3Iq8h0ggshpzCo577danFmwGlI5X2gyBI1c67OdSxmkpitFu4O
uIrgOGmq3zaqDQ41EdevUN9Gz9FK/wKdpEPJVRAkzRG1KprYhjYaoQZPfbw4lcayH+18tB4cUPVM
QkfbA62CVzXptQIC7KA85pnhNm6VzyIsGbRD5hZgt1BVIrYerX02SuPeb11y70t2cp0m/L09Wcku
mQbjsWVkvioFQLFE9sMhSv3iooZ0MladZMoIF1uLnuyobvfVkJR3umkCWhBRcGNFqNccNVuPXHSo
rSXo7w0xKMKzBic5RkbmAHJqO46WMv/KfNy5ko2dfuiTPMMck+tehXF5P5N/ecC3Y21x5euHvC8N
WBy+y1WDugrUUmJuWJGP50Zvb2292VKn6udEzbGH7++j5hcb0J3hNanzn/IeaSi4GvuDCUdpJZ0F
HVjQtJRSNTBh9JFlFiMXsKYQ40crYkbawEqSXUbGL28Mma6yFuoxFA/5AALb3uBK8PkJRrXCwOcf
v+ss/6RPE9YfnBw/9WlLgNl3fRqcf3Q3ekRMIjyMlWbaCSIBl6mzCzFWwF1hkjRoHypXjA8O+5an
yenLGxHOwckhMuOTHw2xBwHXwUJoi2AXdqz+R9Odt7qtMYhTCcMs2IyXnEEPQm+YQhB7+A3gx7Uo
JTT42k8W5lmw3Wner33R5jumFJZnMRNynEj7jD492JjaWNxocdrscZeRAt5gUGtL2/Mr13gSXadO
rWEzdqrcYqP43td5YiNgTxPMdLZZM5WtnPlQh0o9U6kHOxv1FsvH4aXo7UvXdvcWFQopC2xRcONM
G3sOJ9Qm+dmPkvkc9Ti97MTBM6kbtUvoALs2uU3HmhWVHtT2m2grFlekaIM7mTKKQg+NRPFxFlkq
NmXksLsjlLM/+0pNh7Ci2sVWKORtUTT9TYPkQduOHAdXU5iIL3anR28lSsNNaWnKw24r7gqm9sRW
o9eYfWnqXjH18mS1nba3BQbEhggENqNOF814vvXxS98w+QohCuedjZqnztjXjVW67QN6J7kYCUyw
RFf+YDuQ/7O6hZxmk4YG/q3xLLCyNzOpDts8zNGO0L9eIhykbFLHPrrjQXcPozsOB7hW7CV0Kmwi
PJqvEMEpBbNhGB8ArNjaGjpZO0Dkzsn7cQytOIulzu7fS+70vfwWSyXOLUxRHpdD4/FCiq1OL/+e
zB3emEslz0SRs8lZ6nvjvdLHQT1yPlD/D5rTnt2lJyCmxgVkQZ/Qpah5V3WgOTdNPKDJRz3wkC0N
Rv3ea0gqMw6jpQUx37uRbmlMsqVFQV5Pt+IvjctQh1zWchBrJ5zcyjO7SvOCkF2g+97yOO/tj6Hq
vNwDZR4xD0lGg7XtehMbcn7hCW9cN8HzE9iGeilzPAUuK5SVIEHmYo11vJtgv8wcYvRb7NLvy9qS
yIDLO01EEbkpvGCmVhZ3WWdYUAOplLUJFf2qoBQ+sq+p2PkuwDPYcBIzeVeuQ4cybOXwe1iHgW58
FJVtrztcMRdWr+qx4nfAmnppGZOleWQ8TR+ZxHVyFSYtkwKaTCtnUzy8d57yvQt1l4a0NMxkVy1N
KoqqfNtByDxXdLBIJ8GcLE1ttrS3fJNLo0vLy5haPqZLGyyXhthZWmNbC5xPuVV9Gps4eZVLA90t
rfS8NNX50l477532vDTd4dJ+u0sjTuQyPXm6tOeAW2G0Li17uzTv49LGt+8dfb009/nS5s9Lwx9z
SGd+y7+iZsUX9j4ZSJYhAXpztbeXwYFoO3fz9yeq8XOG4bfBF7UhxjihlP1T4qNbN8FkjZOzY8B/
Pz+ZT9WL9lTdDdfNLQKj/Ab4yN9/xfdUxB8scSbeCIuYW8tyefLVT19x0bFmso38HQnT/mtaQCJa
19CbrtEazWJNYVie6qlqSSvBwP5q2HPrlZYPet2wRxMydORv83hgdYfiuEXe7ptcSaJA4b+bbV/7
2LSlfIArzMkt82JAsGAtutU2IZJvrIrqTPJTcsQFNB64mHncmA6spHLuunF2dj3VFL1zFm9Ty6i2
UzNUJ6ew52c5xGiDBz899JXt7Aih0T5k0VCfuzZP0PMh4hQLuenUU9/dh2yAX5A/xJArBqi78RjV
j1ArlseRlPKP/8WL+gcYsSWIdjOkZIoK0sP5KYqycV2TXm+JMmgd65gn0aEVJAbbk+Z6QtBuCZdQ
b91aItQNpA5rO+rsHfHbxqfGCUOSbwoVvE19Nxyz1JpOmmM0F4eh7BP1HQw2dAUd62iv0925pAYe
7uqsxRlMfFXCoxlDJZ7UlOz1ltnByodnrjYy0BT6hiAvvHbiuzJdQeKkA/b2pZ47JFRZK1lDz8t9
xIaPqyl+v6bm9yvLer++wuUmc5c77f0F+4+N9P9ngmt4gi0w1H9t5t18ScPohzE9pt1vH/RtSq8U
2BrXZjrvSPaT30/p5S+OATGGB9cV70bef87phUPGoDLB1hgcJHh1mZ7/hq1xfrF0wUfBm4GFY2KA
/Wku/3dzevdnO63ucEyhs8E3jungW9Dgd+VflNtlxrdX7aI6nKdVNVTtQ9cHw1PYt/2NOQ4PnVZr
dzm9P8m1TCBOk+WC2Sg5Sjb2EKefsqTuX+qqiA5+4nYeZa+Nlh8ZrmGR8hSlkY2MQR/v+PSILBbN
bhBl6RcERK+4sCTxDK7mVaAmNuyei0vpDv5DJQK8lpXRfDQLK3shzomqVJA41vgJybSFfZcwcD4x
zSfM1WRqZcaSZLh4hgAK25Y7ty3uWTE+wXu11gYSyhXiKWAjmkZaT465FfcWei5w3mCjq3tmB6Bh
lm0jehj3jvMrIdqhre6tzNKYT8bE4AxIpJ26tfcRZQuZTthSxDSi0xR++tX1y/zcm0H46kgC1rjU
21dGJM1D3IlsF/u+7FeWNN0NtDq2u3EGD3pVSd94TgBfrrFB04NVjnsejHGY1mLuioxmtR2fTTRn
Jdos28Iha/X6p8JQLkZNJnArrnqC6erevrLbPrY5MGDcOlranMLKYKRjEgPXI1gruDL/s0/7/9oF
3renm2XX3xwJL9lL/g+2d//YRN2fHA188K9Hg/gF5iecK2XhdsCg/bvFn/hrZYKEMTDZW4xjuNJ/
XeEJ/Rf+RbGpQxluCIdk7H8eDfovpuSwceF+YJ4UpvVvHQ0/34A2MdKI/HHZw9AjCXfZ8H13NJS1
RlubGxaD1uhrp6C84nor0a/FfknTExteOkF06gH5RAH14Sw/KWYVnfuMQZl+QAvIZpkfk07uysje
GoSPxCyy62MLAXsk1C3wCWIb9MdKmDtU5NsSVWU819CIcNP5HhSWE4NINnNbSZRRXOXnNK73Fju/
RJq3CLmvbYlaqrJuLd+4tooVjoXXMQi3E94yJ63umW/cz6OPwMGEjAu3Fq9R2r7O6f0UoGFE3WiP
cqus4UqVzqHDcmyU1nVujY8lJtOyzS/S1r1ymnZpxmKReEJw6g8szhxAOtZDI4M9hvybzLcYqIYs
txq73s+QbldxkN62AUrbsonXkd0/t7X7oDv106KyYqJB8Ja/hDklnpO1nzUss1WZnRc7yHfvvD/p
743ll/R9bfj+S1S6cgEjGrxrfqoNJ1RWTYjP2EuralEfrjKVnYOhurGn6UYhKVqFhBmDpva0DgUU
v5m//wb+MF+wuaiw1uvSZhHMdfXTfAGFnVO4ImKXk6/msozOTldvMXEZmBxsG+KVuKEUlbslKjGu
5kd8ZQQDAWQ6ZBLYglp9mcy23uJTlmsgLhExtSRXoeg6j6RzYz9I1hJD2UFfBqtzo68tG4oqc16a
ZdBdoMGH1BtMJo4jA5mi8G3Gx+apovlakYWoM38Rn6fBB806zrf03Tvi0LAdCeOjWYkTkrIrJ+5O
CGVIP6rK4PTvH6RX0ee6aIqv7c8pJD+ckn/5X/3PrZz+Nq5kvQgcooDJ9p+ckXzkr2ckRZKjU6EQ
CuIsugSkE79iUOQviBsApEjS7t13HOBvKgeOSNdgvwDsi+PQsXjT/1o9AUhB2mCA8oH6YyCakP/O
EWnwxX94utgcU4gp3uO8yS0Cnn88IrtQKvYO8bSjU60+4KVQTxX6vCuM8gvxAUnWJxIcX5eZ/hfI
IvkzFQ+3PUV5xxB/KDzVozZUNmlENRjTY5+VhFw5UfoGILP71tL8xyr0H96N/x9EN7/+IH+anPPP
mnb510Vc2D4UYALw5n+XvfMv/Ue/Fct//on+tSge/FIoV37uC96/rfdv5+8+S/rCd929fUHQYy/X
NaU8l/i3P//nH2mRB7/+s7J+0Rl9uBK5zvsfSneKju9epb96Hf7+R7z7Q07RHz/PDz/A56LL2yXf
KIiKH7KFjGX28UMd9BcvwU+f4feXQIhfaGDsJRb9T18Cd3mFpGJeq7//4fL4b3kJXt4y7PcRzK7o
c/v9cSWoz/611+CnT/HdayB5DazlOPrTtwHYU1o0TpgF3LT8+faa/+ffBj/9AL8L02gg/xBM9Rdv
hJ8+xw8vgo0mjTaYc/79z4/PAvAqClBYV+rbG+G/61n46Qf4/UXgwqFW/xefh58+y+8vgyF+kfyA
gpvuh5///zF3Lr1tG0Ec/ypCDz0SfIokigZoGqBuErtFaqDnjUVYtCXZoKwW6qfvbx+kuRJlx5oc
lqdElGdXs/P4z2N3tRDQz4enw6s59oSlCNnEqWdnCAGJEEKXxC6yjjhGBrGKo2I+x15w/q95gtME
kjuEcN9iEU9LQBGVRVFgC55XesSDso7qeZHrs98C5UGq01JSJiRRxYl38zQD3unHFwSYwClS2uzY
t/p1WNqgz64mdXzY5vtmhSgjkC2uoXAaQYg+EoZ6HiUxN+WRH7BPcO6RVJSYCUmiLy1E3jX0H/16
jY/yFPq6vzms5QfSsVIiO5AWEQWVikA3s0Luq0DF67jm7NHaDhQQHOj71MW4iHVHhfKaDdfmOeBA
yvInIKM4OA4A2mMpEiBQrYgnizqFj2OpLzjhk8QgUWegDkAHRxhuqfyDhGoYiQVxj8+GBMtIUZyt
D8PrsGxAQge1tcfEzbfNwxBvviFCTOuIVAUnnmLhxjJAxEANKOeUCKsZ4dl9Mn3S8DhLuJ8BNIin
n9J/6mps8+foWZTBPOExgaBWbAYyMG9ZFwQ/g5yPJaHQCMDs/rGvw2MCxQO940mKi9MsIoPMRcQ9
+PfBAP6wYLdgRohkGUH8FJg9QFalLjHJSXkCesg0TqoEeBBhATIEGyABWOzKnG8UE864Jvgh3J5W
iTn1cdwCXtLyKDh4kGjMKnWP2IWMbEhROOvng6OSi76rimYgtpqZJ7hQuURZ4xQMixHnH/qQbCFL
soxqakxFoA+NMTljU0ksBZzO8ZpWLoJjCUXWVIoYEi5yBy/risgpCxFXdZa67IFuBwnMTJoCu1gY
UiwlKSktW1YBfGGoyScSXbFxrIeXgfJB7Dbxi2SXEw6+meSDjq3JpbBLd3gdnDzoy8OkegF8oDGS
NErm4waTWOUOA67tsgwIzipkFEekpjHF9pE4x85OakNFSxmXq2A3HawID0VaqyCWgnkUz7kejpbO
QdxHLqLO2R2PUy2dT40t3wPKraQ5+UChn6SBqMD35jk+wj6en+TeEXZZUZAixWCe4FwEIH9uJyUA
kZydQKIqjg+Tirq7skRPnM4FtPZMt8pSsL1w/ZOSi2Vox6He6C08WfU4plmCrgkrFrwO0heIrWEW
0XCnkecBKEj4PNVtd84MBif5fWrVrsz50k9ykVAZ+K1vFtLPkSSgABmxtn0bHkrMqBFKTQCQADPH
xaElAjXyAlUZ1SVpRd2ZbZ43iME3mIuhSeVXrr1fmB6WttlOdbGc+kLf3nH83rVtmNNi6M3wvni9
f2zs2LZorf//zitDmtaS0cu+1cSM4/7c/cDjob2x+l/Vf3jRNp3qbpZ782Lvpnml1nTB/LJZLDs1
dR2WraY+T+jnH7zpjszgi/S3W7U+btmQkuVMetWNydqaj5Tsher2aqPGhF0iWUy5XaubpVpNctqm
a6VDfFTr9W72o1o//jT7pNj63HocIi+lwYt0lE+q29AEdu8zyWbXxLSR09UBYZOxkhL+rO63S7X4
t2keew4YLbX1USn1S7VY7qd1yOaapAP8sWiZ/njmDolKCf+5W+xulk3X7T3itodATnxzp776hE1l
Tkr4i7pT2yf6Vz3atg1KSvuv9v6+9QyWiwClhK/Vul3NrtRiN561A9NS4q/eaWh6NbUTOc+K/91s
n2bvm82tWnmztzhAOvtLhTHHYD35N5C7hJyU+m+7O6h7bYNDjVRM+8HTyqExVUoXrzzsYrlqbx6+
cmPl79sVHdvbMf+HrjfxeN1uc9o9Dd000mEu2/8eOh8O6FYdm2CSEn/5DnuhAnxQC1AS/EeD6Zmf
Xah/mlU7XgvzQ8jz9Z+dr2x6BL3UPSXjqYYMjJRNl2rTPu58ZDAkfcXEm1swjtp7WgFn2JKpoz0p
+Zd2e4oX+PVdY8IhXt1xIaa/VE/c53C0p8PVgImzpAtg/MzLZ2MKf8RHXMHJsze/gwhdN6jW7SHG
f87tSDn0WS3gT89prbqTpTbpMNP2aIbfmH0YPMfB/keyLmwG49relLCb1g72PvbzPGWspuLNYQ/E
cRTa722Y+jM/xNbfuFk1qnv3PwAAAP//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3" Type="http://schemas.openxmlformats.org/officeDocument/2006/relationships/chart" Target="../charts/chart11.xml"/><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image" Target="../media/image13.png"/><Relationship Id="rId2" Type="http://schemas.openxmlformats.org/officeDocument/2006/relationships/chart" Target="../charts/chart10.xml"/><Relationship Id="rId16" Type="http://schemas.openxmlformats.org/officeDocument/2006/relationships/image" Target="../media/image12.png"/><Relationship Id="rId1" Type="http://schemas.openxmlformats.org/officeDocument/2006/relationships/chart" Target="../charts/chart9.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chart" Target="../charts/chart13.xml"/><Relationship Id="rId15" Type="http://schemas.openxmlformats.org/officeDocument/2006/relationships/image" Target="../media/image11.svg"/><Relationship Id="rId10" Type="http://schemas.openxmlformats.org/officeDocument/2006/relationships/image" Target="../media/image6.png"/><Relationship Id="rId4" Type="http://schemas.openxmlformats.org/officeDocument/2006/relationships/chart" Target="../charts/chart12.xml"/><Relationship Id="rId9" Type="http://schemas.openxmlformats.org/officeDocument/2006/relationships/image" Target="../media/image5.sv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2.png"/><Relationship Id="rId3" Type="http://schemas.openxmlformats.org/officeDocument/2006/relationships/chart" Target="../charts/chart20.xml"/><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image" Target="../media/image9.svg"/><Relationship Id="rId15" Type="http://schemas.openxmlformats.org/officeDocument/2006/relationships/image" Target="../media/image15.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1.svg"/><Relationship Id="rId14" Type="http://schemas.openxmlformats.org/officeDocument/2006/relationships/image" Target="../media/image3.svg"/></Relationships>
</file>

<file path=xl/drawings/_rels/drawing5.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2.xml"/><Relationship Id="rId1" Type="http://schemas.openxmlformats.org/officeDocument/2006/relationships/chart" Target="../charts/chart21.xml"/><Relationship Id="rId5" Type="http://schemas.microsoft.com/office/2014/relationships/chartEx" Target="../charts/chartEx2.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chart" Target="../charts/chart24.xml"/><Relationship Id="rId3" Type="http://schemas.openxmlformats.org/officeDocument/2006/relationships/image" Target="../media/image9.svg"/><Relationship Id="rId7" Type="http://schemas.openxmlformats.org/officeDocument/2006/relationships/image" Target="../media/image11.svg"/><Relationship Id="rId12" Type="http://schemas.openxmlformats.org/officeDocument/2006/relationships/image" Target="../media/image3.svg"/><Relationship Id="rId17" Type="http://schemas.microsoft.com/office/2014/relationships/chartEx" Target="../charts/chartEx4.xml"/><Relationship Id="rId2" Type="http://schemas.openxmlformats.org/officeDocument/2006/relationships/image" Target="../media/image8.png"/><Relationship Id="rId16" Type="http://schemas.openxmlformats.org/officeDocument/2006/relationships/chart" Target="../charts/chart26.xml"/><Relationship Id="rId1" Type="http://schemas.openxmlformats.org/officeDocument/2006/relationships/image" Target="../media/image16.png"/><Relationship Id="rId6" Type="http://schemas.openxmlformats.org/officeDocument/2006/relationships/image" Target="../media/image10.png"/><Relationship Id="rId11" Type="http://schemas.openxmlformats.org/officeDocument/2006/relationships/image" Target="../media/image2.png"/><Relationship Id="rId5" Type="http://schemas.openxmlformats.org/officeDocument/2006/relationships/image" Target="../media/image5.svg"/><Relationship Id="rId15" Type="http://schemas.microsoft.com/office/2014/relationships/chartEx" Target="../charts/chartEx3.xml"/><Relationship Id="rId10" Type="http://schemas.openxmlformats.org/officeDocument/2006/relationships/image" Target="../media/image7.svg"/><Relationship Id="rId4" Type="http://schemas.openxmlformats.org/officeDocument/2006/relationships/image" Target="../media/image4.png"/><Relationship Id="rId9" Type="http://schemas.openxmlformats.org/officeDocument/2006/relationships/image" Target="../media/image6.png"/><Relationship Id="rId1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2</xdr:col>
      <xdr:colOff>253094</xdr:colOff>
      <xdr:row>0</xdr:row>
      <xdr:rowOff>98651</xdr:rowOff>
    </xdr:from>
    <xdr:to>
      <xdr:col>8</xdr:col>
      <xdr:colOff>429987</xdr:colOff>
      <xdr:row>27</xdr:row>
      <xdr:rowOff>151039</xdr:rowOff>
    </xdr:to>
    <xdr:graphicFrame macro="">
      <xdr:nvGraphicFramePr>
        <xdr:cNvPr id="4" name="Chart 3">
          <a:extLst>
            <a:ext uri="{FF2B5EF4-FFF2-40B4-BE49-F238E27FC236}">
              <a16:creationId xmlns:a16="http://schemas.microsoft.com/office/drawing/2014/main" id="{59008C50-B311-10E6-7EBF-7E21B99D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717775</xdr:colOff>
      <xdr:row>0</xdr:row>
      <xdr:rowOff>29933</xdr:rowOff>
    </xdr:from>
    <xdr:to>
      <xdr:col>26</xdr:col>
      <xdr:colOff>27214</xdr:colOff>
      <xdr:row>34</xdr:row>
      <xdr:rowOff>217715</xdr:rowOff>
    </xdr:to>
    <xdr:graphicFrame macro="">
      <xdr:nvGraphicFramePr>
        <xdr:cNvPr id="5" name="Chart 4">
          <a:extLst>
            <a:ext uri="{FF2B5EF4-FFF2-40B4-BE49-F238E27FC236}">
              <a16:creationId xmlns:a16="http://schemas.microsoft.com/office/drawing/2014/main" id="{23E11A01-BFA5-8E16-FBC6-22E96577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102883</xdr:colOff>
      <xdr:row>35</xdr:row>
      <xdr:rowOff>229128</xdr:rowOff>
    </xdr:from>
    <xdr:to>
      <xdr:col>22</xdr:col>
      <xdr:colOff>498927</xdr:colOff>
      <xdr:row>80</xdr:row>
      <xdr:rowOff>15119</xdr:rowOff>
    </xdr:to>
    <mc:AlternateContent xmlns:mc="http://schemas.openxmlformats.org/markup-compatibility/2006" xmlns:a14="http://schemas.microsoft.com/office/drawing/2010/main">
      <mc:Choice Requires="a14">
        <xdr:graphicFrame macro="">
          <xdr:nvGraphicFramePr>
            <xdr:cNvPr id="14" name="state_name">
              <a:extLst>
                <a:ext uri="{FF2B5EF4-FFF2-40B4-BE49-F238E27FC236}">
                  <a16:creationId xmlns:a16="http://schemas.microsoft.com/office/drawing/2014/main" id="{579A3496-C433-01DF-61BB-1582AD48DF6D}"/>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mlns="">
        <xdr:sp macro="" textlink="">
          <xdr:nvSpPr>
            <xdr:cNvPr id="0" name=""/>
            <xdr:cNvSpPr>
              <a:spLocks noTextEdit="1"/>
            </xdr:cNvSpPr>
          </xdr:nvSpPr>
          <xdr:spPr>
            <a:xfrm>
              <a:off x="30884042" y="10279404"/>
              <a:ext cx="2917366" cy="1270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474483</xdr:colOff>
      <xdr:row>42</xdr:row>
      <xdr:rowOff>74788</xdr:rowOff>
    </xdr:from>
    <xdr:to>
      <xdr:col>18</xdr:col>
      <xdr:colOff>335137</xdr:colOff>
      <xdr:row>73</xdr:row>
      <xdr:rowOff>114651</xdr:rowOff>
    </xdr:to>
    <xdr:graphicFrame macro="">
      <xdr:nvGraphicFramePr>
        <xdr:cNvPr id="15" name="Chart 14">
          <a:extLst>
            <a:ext uri="{FF2B5EF4-FFF2-40B4-BE49-F238E27FC236}">
              <a16:creationId xmlns:a16="http://schemas.microsoft.com/office/drawing/2014/main" id="{CEF1907D-3C29-76AB-E895-C8CD88CD5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1028700</xdr:colOff>
      <xdr:row>90</xdr:row>
      <xdr:rowOff>161924</xdr:rowOff>
    </xdr:from>
    <xdr:to>
      <xdr:col>2</xdr:col>
      <xdr:colOff>647700</xdr:colOff>
      <xdr:row>99</xdr:row>
      <xdr:rowOff>276224</xdr:rowOff>
    </xdr:to>
    <xdr:graphicFrame macro="">
      <xdr:nvGraphicFramePr>
        <xdr:cNvPr id="18" name="Chart 17">
          <a:extLst>
            <a:ext uri="{FF2B5EF4-FFF2-40B4-BE49-F238E27FC236}">
              <a16:creationId xmlns:a16="http://schemas.microsoft.com/office/drawing/2014/main" id="{276396A2-FCB4-15D0-2EB7-77521FEDC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1060450</xdr:colOff>
      <xdr:row>90</xdr:row>
      <xdr:rowOff>180974</xdr:rowOff>
    </xdr:from>
    <xdr:to>
      <xdr:col>4</xdr:col>
      <xdr:colOff>336550</xdr:colOff>
      <xdr:row>100</xdr:row>
      <xdr:rowOff>3174</xdr:rowOff>
    </xdr:to>
    <xdr:graphicFrame macro="">
      <xdr:nvGraphicFramePr>
        <xdr:cNvPr id="19" name="Chart 18">
          <a:extLst>
            <a:ext uri="{FF2B5EF4-FFF2-40B4-BE49-F238E27FC236}">
              <a16:creationId xmlns:a16="http://schemas.microsoft.com/office/drawing/2014/main" id="{73BED184-B7CC-455B-1767-7E0BDF44D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1281695</xdr:colOff>
      <xdr:row>103</xdr:row>
      <xdr:rowOff>169944</xdr:rowOff>
    </xdr:from>
    <xdr:to>
      <xdr:col>5</xdr:col>
      <xdr:colOff>1366920</xdr:colOff>
      <xdr:row>112</xdr:row>
      <xdr:rowOff>281237</xdr:rowOff>
    </xdr:to>
    <xdr:graphicFrame macro="">
      <xdr:nvGraphicFramePr>
        <xdr:cNvPr id="20" name="Chart 19">
          <a:extLst>
            <a:ext uri="{FF2B5EF4-FFF2-40B4-BE49-F238E27FC236}">
              <a16:creationId xmlns:a16="http://schemas.microsoft.com/office/drawing/2014/main" id="{871F3351-8ADB-E98C-E4E3-175BFD7AD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889000</xdr:colOff>
      <xdr:row>115</xdr:row>
      <xdr:rowOff>186656</xdr:rowOff>
    </xdr:from>
    <xdr:to>
      <xdr:col>5</xdr:col>
      <xdr:colOff>974223</xdr:colOff>
      <xdr:row>125</xdr:row>
      <xdr:rowOff>5514</xdr:rowOff>
    </xdr:to>
    <xdr:graphicFrame macro="">
      <xdr:nvGraphicFramePr>
        <xdr:cNvPr id="21" name="Chart 20">
          <a:extLst>
            <a:ext uri="{FF2B5EF4-FFF2-40B4-BE49-F238E27FC236}">
              <a16:creationId xmlns:a16="http://schemas.microsoft.com/office/drawing/2014/main" id="{BB736368-C5AB-1E04-B422-6AD1A2E86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663407</xdr:colOff>
      <xdr:row>87</xdr:row>
      <xdr:rowOff>61324</xdr:rowOff>
    </xdr:from>
    <xdr:to>
      <xdr:col>24</xdr:col>
      <xdr:colOff>810460</xdr:colOff>
      <xdr:row>115</xdr:row>
      <xdr:rowOff>100261</xdr:rowOff>
    </xdr:to>
    <xdr:graphicFrame macro="">
      <xdr:nvGraphicFramePr>
        <xdr:cNvPr id="22" name="Chart 21">
          <a:extLst>
            <a:ext uri="{FF2B5EF4-FFF2-40B4-BE49-F238E27FC236}">
              <a16:creationId xmlns:a16="http://schemas.microsoft.com/office/drawing/2014/main" id="{D75F2C2F-E093-4D0E-C1B6-A6F015B61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38</xdr:col>
      <xdr:colOff>671291</xdr:colOff>
      <xdr:row>24</xdr:row>
      <xdr:rowOff>204107</xdr:rowOff>
    </xdr:from>
    <xdr:to>
      <xdr:col>41</xdr:col>
      <xdr:colOff>78919</xdr:colOff>
      <xdr:row>29</xdr:row>
      <xdr:rowOff>93889</xdr:rowOff>
    </xdr:to>
    <xdr:pic>
      <xdr:nvPicPr>
        <xdr:cNvPr id="2" name="Picture 1">
          <a:extLst>
            <a:ext uri="{FF2B5EF4-FFF2-40B4-BE49-F238E27FC236}">
              <a16:creationId xmlns:a16="http://schemas.microsoft.com/office/drawing/2014/main" id="{B02344F7-C178-29E5-F71A-C2013ADCC5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7471359" y="7143750"/>
          <a:ext cx="1933455" cy="1335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466430</xdr:colOff>
      <xdr:row>0</xdr:row>
      <xdr:rowOff>56029</xdr:rowOff>
    </xdr:from>
    <xdr:to>
      <xdr:col>1</xdr:col>
      <xdr:colOff>560294</xdr:colOff>
      <xdr:row>49</xdr:row>
      <xdr:rowOff>133069</xdr:rowOff>
    </xdr:to>
    <xdr:sp macro="" textlink="">
      <xdr:nvSpPr>
        <xdr:cNvPr id="8" name="Rectangle: Rounded Corners 1">
          <a:extLst>
            <a:ext uri="{FF2B5EF4-FFF2-40B4-BE49-F238E27FC236}">
              <a16:creationId xmlns:a16="http://schemas.microsoft.com/office/drawing/2014/main" id="{A7BD4E05-DE81-7434-307B-C66D10550FB8}"/>
            </a:ext>
          </a:extLst>
        </xdr:cNvPr>
        <xdr:cNvSpPr/>
      </xdr:nvSpPr>
      <xdr:spPr>
        <a:xfrm>
          <a:off x="466430" y="56029"/>
          <a:ext cx="933130" cy="9215711"/>
        </a:xfrm>
        <a:prstGeom prst="roundRect">
          <a:avLst>
            <a:gd name="adj" fmla="val 788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613410</xdr:colOff>
      <xdr:row>0</xdr:row>
      <xdr:rowOff>63117</xdr:rowOff>
    </xdr:from>
    <xdr:to>
      <xdr:col>17</xdr:col>
      <xdr:colOff>462242</xdr:colOff>
      <xdr:row>3</xdr:row>
      <xdr:rowOff>160663</xdr:rowOff>
    </xdr:to>
    <xdr:sp macro="" textlink="">
      <xdr:nvSpPr>
        <xdr:cNvPr id="3" name="Rectangle: Rounded Corners 2">
          <a:extLst>
            <a:ext uri="{FF2B5EF4-FFF2-40B4-BE49-F238E27FC236}">
              <a16:creationId xmlns:a16="http://schemas.microsoft.com/office/drawing/2014/main" id="{1D03E5D0-BA8A-F758-7A70-84A92DA9766A}"/>
            </a:ext>
          </a:extLst>
        </xdr:cNvPr>
        <xdr:cNvSpPr/>
      </xdr:nvSpPr>
      <xdr:spPr>
        <a:xfrm>
          <a:off x="1453851" y="63117"/>
          <a:ext cx="13407950" cy="664845"/>
        </a:xfrm>
        <a:prstGeom prst="roundRect">
          <a:avLst>
            <a:gd name="adj" fmla="val 2415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2400" b="1">
              <a:solidFill>
                <a:schemeClr val="bg1"/>
              </a:solidFill>
              <a:latin typeface="Arial" panose="020B0604020202020204" pitchFamily="34" charset="0"/>
              <a:ea typeface="Verdana" panose="020B0604030504040204" pitchFamily="34" charset="0"/>
              <a:cs typeface="Arial" panose="020B0604020202020204" pitchFamily="34" charset="0"/>
            </a:rPr>
            <a:t>	</a:t>
          </a:r>
          <a:r>
            <a:rPr lang="en-IN" sz="2400" b="1" baseline="0">
              <a:solidFill>
                <a:schemeClr val="bg1"/>
              </a:solidFill>
              <a:latin typeface="Arial" panose="020B0604020202020204" pitchFamily="34" charset="0"/>
              <a:ea typeface="Verdana" panose="020B0604030504040204" pitchFamily="34" charset="0"/>
              <a:cs typeface="Arial" panose="020B0604020202020204" pitchFamily="34" charset="0"/>
            </a:rPr>
            <a:t>      </a:t>
          </a:r>
          <a:r>
            <a:rPr lang="en-IN" sz="2400" b="1">
              <a:solidFill>
                <a:schemeClr val="bg1"/>
              </a:solidFill>
              <a:latin typeface="Arial" panose="020B0604020202020204" pitchFamily="34" charset="0"/>
              <a:ea typeface="Verdana" panose="020B0604030504040204" pitchFamily="34" charset="0"/>
              <a:cs typeface="Arial" panose="020B0604020202020204" pitchFamily="34" charset="0"/>
            </a:rPr>
            <a:t>MGNREGA - Job Cards &amp; Worker Engagement: Statewise Analysis</a:t>
          </a:r>
        </a:p>
      </xdr:txBody>
    </xdr:sp>
    <xdr:clientData/>
  </xdr:twoCellAnchor>
  <xdr:twoCellAnchor>
    <xdr:from>
      <xdr:col>6</xdr:col>
      <xdr:colOff>575271</xdr:colOff>
      <xdr:row>4</xdr:row>
      <xdr:rowOff>50165</xdr:rowOff>
    </xdr:from>
    <xdr:to>
      <xdr:col>8</xdr:col>
      <xdr:colOff>762818</xdr:colOff>
      <xdr:row>10</xdr:row>
      <xdr:rowOff>55903</xdr:rowOff>
    </xdr:to>
    <xdr:sp macro="" textlink="">
      <xdr:nvSpPr>
        <xdr:cNvPr id="10" name="Rectangle: Rounded Corners 9">
          <a:extLst>
            <a:ext uri="{FF2B5EF4-FFF2-40B4-BE49-F238E27FC236}">
              <a16:creationId xmlns:a16="http://schemas.microsoft.com/office/drawing/2014/main" id="{5A082B54-1662-38AB-CB1D-BD938ABF7FB8}"/>
            </a:ext>
          </a:extLst>
        </xdr:cNvPr>
        <xdr:cNvSpPr/>
      </xdr:nvSpPr>
      <xdr:spPr>
        <a:xfrm>
          <a:off x="5596307" y="784951"/>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Active Job</a:t>
          </a:r>
          <a:r>
            <a:rPr lang="en-IN" sz="1800" b="1" baseline="0">
              <a:solidFill>
                <a:srgbClr val="7030A0"/>
              </a:solidFill>
              <a:latin typeface="Arial" panose="020B0604020202020204" pitchFamily="34" charset="0"/>
              <a:cs typeface="Arial" panose="020B0604020202020204" pitchFamily="34" charset="0"/>
            </a:rPr>
            <a:t> Cards: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6</xdr:col>
      <xdr:colOff>673589</xdr:colOff>
      <xdr:row>7</xdr:row>
      <xdr:rowOff>167741</xdr:rowOff>
    </xdr:from>
    <xdr:ext cx="1653532" cy="555715"/>
    <xdr:sp macro="" textlink="'Job Card Utilization rate'!E81">
      <xdr:nvSpPr>
        <xdr:cNvPr id="11" name="TextBox 10">
          <a:extLst>
            <a:ext uri="{FF2B5EF4-FFF2-40B4-BE49-F238E27FC236}">
              <a16:creationId xmlns:a16="http://schemas.microsoft.com/office/drawing/2014/main" id="{93F788D8-1BB4-4320-8583-5E9B8C681E74}"/>
            </a:ext>
          </a:extLst>
        </xdr:cNvPr>
        <xdr:cNvSpPr txBox="1"/>
      </xdr:nvSpPr>
      <xdr:spPr>
        <a:xfrm>
          <a:off x="5716236" y="1491437"/>
          <a:ext cx="1653532" cy="555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030F860-CA08-43F0-B37B-9924EE5FD0BB}" type="TxLink">
            <a:rPr lang="en-US" sz="2400" b="1" i="0" u="none" strike="noStrike">
              <a:solidFill>
                <a:schemeClr val="accent4"/>
              </a:solidFill>
              <a:latin typeface="Arial" panose="020B0604020202020204" pitchFamily="34" charset="0"/>
              <a:cs typeface="Arial" panose="020B0604020202020204" pitchFamily="34" charset="0"/>
            </a:rPr>
            <a:pPr/>
            <a:t>48181372</a:t>
          </a:fld>
          <a:endParaRPr lang="en-IN" sz="24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11</xdr:col>
      <xdr:colOff>435426</xdr:colOff>
      <xdr:row>4</xdr:row>
      <xdr:rowOff>81640</xdr:rowOff>
    </xdr:from>
    <xdr:to>
      <xdr:col>14</xdr:col>
      <xdr:colOff>381000</xdr:colOff>
      <xdr:row>14</xdr:row>
      <xdr:rowOff>95249</xdr:rowOff>
    </xdr:to>
    <xdr:sp macro="" textlink="">
      <xdr:nvSpPr>
        <xdr:cNvPr id="12" name="Rectangle: Rounded Corners 11">
          <a:extLst>
            <a:ext uri="{FF2B5EF4-FFF2-40B4-BE49-F238E27FC236}">
              <a16:creationId xmlns:a16="http://schemas.microsoft.com/office/drawing/2014/main" id="{9C2C8740-531F-47E1-924E-1207614B73C0}"/>
            </a:ext>
          </a:extLst>
        </xdr:cNvPr>
        <xdr:cNvSpPr/>
      </xdr:nvSpPr>
      <xdr:spPr>
        <a:xfrm>
          <a:off x="9756319" y="816426"/>
          <a:ext cx="2456092" cy="185057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Percentage of Active JobCards: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xdr:col>
      <xdr:colOff>625928</xdr:colOff>
      <xdr:row>4</xdr:row>
      <xdr:rowOff>47626</xdr:rowOff>
    </xdr:from>
    <xdr:to>
      <xdr:col>4</xdr:col>
      <xdr:colOff>92298</xdr:colOff>
      <xdr:row>10</xdr:row>
      <xdr:rowOff>53364</xdr:rowOff>
    </xdr:to>
    <xdr:sp macro="" textlink="">
      <xdr:nvSpPr>
        <xdr:cNvPr id="13" name="Rectangle: Rounded Corners 12">
          <a:extLst>
            <a:ext uri="{FF2B5EF4-FFF2-40B4-BE49-F238E27FC236}">
              <a16:creationId xmlns:a16="http://schemas.microsoft.com/office/drawing/2014/main" id="{A52EBAF9-6BED-48F5-9FD1-BB85188887EB}"/>
            </a:ext>
          </a:extLst>
        </xdr:cNvPr>
        <xdr:cNvSpPr/>
      </xdr:nvSpPr>
      <xdr:spPr>
        <a:xfrm>
          <a:off x="1462768" y="782412"/>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JobCards </a:t>
          </a:r>
        </a:p>
        <a:p>
          <a:pPr algn="l"/>
          <a:r>
            <a:rPr lang="en-IN" sz="1800" b="1" baseline="0">
              <a:solidFill>
                <a:srgbClr val="7030A0"/>
              </a:solidFill>
              <a:latin typeface="Arial" panose="020B0604020202020204" pitchFamily="34" charset="0"/>
              <a:cs typeface="Arial" panose="020B0604020202020204" pitchFamily="34" charset="0"/>
            </a:rPr>
            <a:t>Issued:</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4</xdr:col>
      <xdr:colOff>170089</xdr:colOff>
      <xdr:row>4</xdr:row>
      <xdr:rowOff>47626</xdr:rowOff>
    </xdr:from>
    <xdr:to>
      <xdr:col>6</xdr:col>
      <xdr:colOff>473297</xdr:colOff>
      <xdr:row>10</xdr:row>
      <xdr:rowOff>53364</xdr:rowOff>
    </xdr:to>
    <xdr:sp macro="" textlink="">
      <xdr:nvSpPr>
        <xdr:cNvPr id="14" name="Rectangle: Rounded Corners 13">
          <a:extLst>
            <a:ext uri="{FF2B5EF4-FFF2-40B4-BE49-F238E27FC236}">
              <a16:creationId xmlns:a16="http://schemas.microsoft.com/office/drawing/2014/main" id="{3FC81E05-B63C-4E48-A7CD-F3A70D30E431}"/>
            </a:ext>
          </a:extLst>
        </xdr:cNvPr>
        <xdr:cNvSpPr/>
      </xdr:nvSpPr>
      <xdr:spPr>
        <a:xfrm>
          <a:off x="3517446" y="782412"/>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No.of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1</xdr:col>
      <xdr:colOff>673552</xdr:colOff>
      <xdr:row>7</xdr:row>
      <xdr:rowOff>138274</xdr:rowOff>
    </xdr:from>
    <xdr:ext cx="1789339" cy="483054"/>
    <xdr:sp macro="" textlink="'Job Card Utilization rate'!A81">
      <xdr:nvSpPr>
        <xdr:cNvPr id="15" name="TextBox 14">
          <a:extLst>
            <a:ext uri="{FF2B5EF4-FFF2-40B4-BE49-F238E27FC236}">
              <a16:creationId xmlns:a16="http://schemas.microsoft.com/office/drawing/2014/main" id="{73F5BE1E-BB3B-4059-A2D5-800B8A8BB47A}"/>
            </a:ext>
          </a:extLst>
        </xdr:cNvPr>
        <xdr:cNvSpPr txBox="1"/>
      </xdr:nvSpPr>
      <xdr:spPr>
        <a:xfrm>
          <a:off x="1513993" y="1461970"/>
          <a:ext cx="1789339" cy="483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EECEC72-55B4-4DBB-B3DC-11D66568F980}" type="TxLink">
            <a:rPr lang="en-US" sz="2400" b="1" i="0" u="none" strike="noStrike">
              <a:solidFill>
                <a:schemeClr val="accent4"/>
              </a:solidFill>
              <a:latin typeface="Arial" panose="020B0604020202020204" pitchFamily="34" charset="0"/>
              <a:cs typeface="Arial" panose="020B0604020202020204" pitchFamily="34" charset="0"/>
            </a:rPr>
            <a:pPr/>
            <a:t>71241956</a:t>
          </a:fld>
          <a:endParaRPr lang="en-IN" sz="2000" b="1">
            <a:solidFill>
              <a:schemeClr val="accent4"/>
            </a:solidFill>
            <a:latin typeface="Arial" panose="020B0604020202020204" pitchFamily="34" charset="0"/>
            <a:cs typeface="Arial" panose="020B0604020202020204" pitchFamily="34" charset="0"/>
          </a:endParaRPr>
        </a:p>
      </xdr:txBody>
    </xdr:sp>
    <xdr:clientData/>
  </xdr:oneCellAnchor>
  <xdr:oneCellAnchor>
    <xdr:from>
      <xdr:col>4</xdr:col>
      <xdr:colOff>210912</xdr:colOff>
      <xdr:row>7</xdr:row>
      <xdr:rowOff>158681</xdr:rowOff>
    </xdr:from>
    <xdr:ext cx="1773027" cy="421821"/>
    <xdr:sp macro="" textlink="'Job Card Utilization rate'!C81">
      <xdr:nvSpPr>
        <xdr:cNvPr id="16" name="TextBox 15">
          <a:extLst>
            <a:ext uri="{FF2B5EF4-FFF2-40B4-BE49-F238E27FC236}">
              <a16:creationId xmlns:a16="http://schemas.microsoft.com/office/drawing/2014/main" id="{30A1C914-CFF6-4BF5-A738-12F18337E91C}"/>
            </a:ext>
          </a:extLst>
        </xdr:cNvPr>
        <xdr:cNvSpPr txBox="1"/>
      </xdr:nvSpPr>
      <xdr:spPr>
        <a:xfrm>
          <a:off x="3572677" y="1482377"/>
          <a:ext cx="1773027" cy="421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C0592E0-3562-432F-8C8E-18E9C6B19093}" type="TxLink">
            <a:rPr lang="en-US" sz="2400" b="1" i="0" u="none" strike="noStrike">
              <a:solidFill>
                <a:schemeClr val="accent4"/>
              </a:solidFill>
              <a:latin typeface="Arial" panose="020B0604020202020204" pitchFamily="34" charset="0"/>
              <a:cs typeface="Arial" panose="020B0604020202020204" pitchFamily="34" charset="0"/>
            </a:rPr>
            <a:pPr/>
            <a:t> 9,42,85,624 </a:t>
          </a:fld>
          <a:endParaRPr lang="en-IN" sz="20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9</xdr:col>
      <xdr:colOff>13607</xdr:colOff>
      <xdr:row>4</xdr:row>
      <xdr:rowOff>68037</xdr:rowOff>
    </xdr:from>
    <xdr:to>
      <xdr:col>11</xdr:col>
      <xdr:colOff>316815</xdr:colOff>
      <xdr:row>10</xdr:row>
      <xdr:rowOff>73775</xdr:rowOff>
    </xdr:to>
    <xdr:sp macro="" textlink="">
      <xdr:nvSpPr>
        <xdr:cNvPr id="17" name="Rectangle: Rounded Corners 16">
          <a:extLst>
            <a:ext uri="{FF2B5EF4-FFF2-40B4-BE49-F238E27FC236}">
              <a16:creationId xmlns:a16="http://schemas.microsoft.com/office/drawing/2014/main" id="{36B91533-7CD5-4DB0-BC8D-746423681D06}"/>
            </a:ext>
          </a:extLst>
        </xdr:cNvPr>
        <xdr:cNvSpPr/>
      </xdr:nvSpPr>
      <xdr:spPr>
        <a:xfrm>
          <a:off x="7660821" y="802823"/>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Active W</a:t>
          </a:r>
          <a:r>
            <a:rPr lang="en-IN" sz="1800" b="1" baseline="0">
              <a:solidFill>
                <a:srgbClr val="7030A0"/>
              </a:solidFill>
              <a:latin typeface="Arial" panose="020B0604020202020204" pitchFamily="34" charset="0"/>
              <a:cs typeface="Arial" panose="020B0604020202020204" pitchFamily="34" charset="0"/>
            </a:rPr>
            <a:t>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9</xdr:col>
      <xdr:colOff>75595</xdr:colOff>
      <xdr:row>7</xdr:row>
      <xdr:rowOff>142132</xdr:rowOff>
    </xdr:from>
    <xdr:ext cx="1653532" cy="505195"/>
    <xdr:sp macro="" textlink="'Job Card Utilization rate'!I81">
      <xdr:nvSpPr>
        <xdr:cNvPr id="18" name="TextBox 17">
          <a:extLst>
            <a:ext uri="{FF2B5EF4-FFF2-40B4-BE49-F238E27FC236}">
              <a16:creationId xmlns:a16="http://schemas.microsoft.com/office/drawing/2014/main" id="{F1432AAD-362F-4DC4-B9C3-843EBB3ECCFB}"/>
            </a:ext>
          </a:extLst>
        </xdr:cNvPr>
        <xdr:cNvSpPr txBox="1"/>
      </xdr:nvSpPr>
      <xdr:spPr>
        <a:xfrm>
          <a:off x="7751624" y="1465828"/>
          <a:ext cx="1653532"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09350FB-1263-4E24-A425-1749D9B03B78}" type="TxLink">
            <a:rPr lang="en-US" sz="2400" b="1" i="0" u="none" strike="noStrike">
              <a:solidFill>
                <a:schemeClr val="accent4"/>
              </a:solidFill>
              <a:latin typeface="Arial" panose="020B0604020202020204" pitchFamily="34" charset="0"/>
              <a:cs typeface="Arial" panose="020B0604020202020204" pitchFamily="34" charset="0"/>
            </a:rPr>
            <a:pPr/>
            <a:t> 6,65,22,128 </a:t>
          </a:fld>
          <a:endParaRPr lang="en-IN" sz="24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14</xdr:col>
      <xdr:colOff>499380</xdr:colOff>
      <xdr:row>4</xdr:row>
      <xdr:rowOff>84361</xdr:rowOff>
    </xdr:from>
    <xdr:to>
      <xdr:col>17</xdr:col>
      <xdr:colOff>444954</xdr:colOff>
      <xdr:row>14</xdr:row>
      <xdr:rowOff>97970</xdr:rowOff>
    </xdr:to>
    <xdr:sp macro="" textlink="">
      <xdr:nvSpPr>
        <xdr:cNvPr id="19" name="Rectangle: Rounded Corners 18">
          <a:extLst>
            <a:ext uri="{FF2B5EF4-FFF2-40B4-BE49-F238E27FC236}">
              <a16:creationId xmlns:a16="http://schemas.microsoft.com/office/drawing/2014/main" id="{943900B2-9CF3-41AD-8EE4-EBC27AA2D637}"/>
            </a:ext>
          </a:extLst>
        </xdr:cNvPr>
        <xdr:cNvSpPr/>
      </xdr:nvSpPr>
      <xdr:spPr>
        <a:xfrm>
          <a:off x="12330791" y="819147"/>
          <a:ext cx="2456092" cy="185057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Percentage of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11</xdr:col>
      <xdr:colOff>560294</xdr:colOff>
      <xdr:row>7</xdr:row>
      <xdr:rowOff>102054</xdr:rowOff>
    </xdr:from>
    <xdr:to>
      <xdr:col>14</xdr:col>
      <xdr:colOff>183696</xdr:colOff>
      <xdr:row>14</xdr:row>
      <xdr:rowOff>42022</xdr:rowOff>
    </xdr:to>
    <xdr:graphicFrame macro="">
      <xdr:nvGraphicFramePr>
        <xdr:cNvPr id="20" name="Chart 19">
          <a:extLst>
            <a:ext uri="{FF2B5EF4-FFF2-40B4-BE49-F238E27FC236}">
              <a16:creationId xmlns:a16="http://schemas.microsoft.com/office/drawing/2014/main" id="{4E528081-7102-41B3-A509-E487AC6FB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130826</xdr:colOff>
      <xdr:row>9</xdr:row>
      <xdr:rowOff>169314</xdr:rowOff>
    </xdr:from>
    <xdr:ext cx="670594" cy="505195"/>
    <xdr:sp macro="" textlink="'Job Card Utilization rate'!D85">
      <xdr:nvSpPr>
        <xdr:cNvPr id="22" name="TextBox 21">
          <a:extLst>
            <a:ext uri="{FF2B5EF4-FFF2-40B4-BE49-F238E27FC236}">
              <a16:creationId xmlns:a16="http://schemas.microsoft.com/office/drawing/2014/main" id="{55D5EDDD-9179-4879-9F49-FD3DED3F441F}"/>
            </a:ext>
          </a:extLst>
        </xdr:cNvPr>
        <xdr:cNvSpPr txBox="1"/>
      </xdr:nvSpPr>
      <xdr:spPr>
        <a:xfrm>
          <a:off x="10328179" y="1871208"/>
          <a:ext cx="670594"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043FEB4-33DB-41AA-AD17-FC2407FB4E62}" type="TxLink">
            <a:rPr lang="en-US" sz="1600" b="1" i="0" u="none" strike="noStrike">
              <a:solidFill>
                <a:schemeClr val="bg1"/>
              </a:solidFill>
              <a:latin typeface="Arial" panose="020B0604020202020204" pitchFamily="34" charset="0"/>
              <a:cs typeface="Arial" panose="020B0604020202020204" pitchFamily="34" charset="0"/>
            </a:rPr>
            <a:pPr/>
            <a:t>68%</a:t>
          </a:fld>
          <a:endParaRPr lang="en-IN" sz="3200" b="1">
            <a:solidFill>
              <a:schemeClr val="bg1"/>
            </a:solidFill>
            <a:latin typeface="Arial" panose="020B0604020202020204" pitchFamily="34" charset="0"/>
            <a:cs typeface="Arial" panose="020B0604020202020204" pitchFamily="34" charset="0"/>
          </a:endParaRPr>
        </a:p>
      </xdr:txBody>
    </xdr:sp>
    <xdr:clientData/>
  </xdr:oneCellAnchor>
  <xdr:twoCellAnchor>
    <xdr:from>
      <xdr:col>14</xdr:col>
      <xdr:colOff>665350</xdr:colOff>
      <xdr:row>7</xdr:row>
      <xdr:rowOff>73270</xdr:rowOff>
    </xdr:from>
    <xdr:to>
      <xdr:col>17</xdr:col>
      <xdr:colOff>109905</xdr:colOff>
      <xdr:row>14</xdr:row>
      <xdr:rowOff>42022</xdr:rowOff>
    </xdr:to>
    <xdr:graphicFrame macro="">
      <xdr:nvGraphicFramePr>
        <xdr:cNvPr id="23" name="Chart 22">
          <a:extLst>
            <a:ext uri="{FF2B5EF4-FFF2-40B4-BE49-F238E27FC236}">
              <a16:creationId xmlns:a16="http://schemas.microsoft.com/office/drawing/2014/main" id="{00FA406E-D621-4725-9D77-FE32D8F19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196751</xdr:colOff>
      <xdr:row>9</xdr:row>
      <xdr:rowOff>171859</xdr:rowOff>
    </xdr:from>
    <xdr:ext cx="670594" cy="505195"/>
    <xdr:sp macro="" textlink="'Job Card Utilization rate'!$D$89">
      <xdr:nvSpPr>
        <xdr:cNvPr id="24" name="TextBox 23">
          <a:extLst>
            <a:ext uri="{FF2B5EF4-FFF2-40B4-BE49-F238E27FC236}">
              <a16:creationId xmlns:a16="http://schemas.microsoft.com/office/drawing/2014/main" id="{EE0FD092-EE10-4E52-B0DA-70688365B186}"/>
            </a:ext>
          </a:extLst>
        </xdr:cNvPr>
        <xdr:cNvSpPr txBox="1"/>
      </xdr:nvSpPr>
      <xdr:spPr>
        <a:xfrm>
          <a:off x="12915427" y="1873753"/>
          <a:ext cx="670594"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4844909-94E2-42E8-A12A-C527AE4E431E}" type="TxLink">
            <a:rPr lang="en-US" sz="1600" b="1" i="0" u="none" strike="noStrike">
              <a:solidFill>
                <a:schemeClr val="bg1"/>
              </a:solidFill>
              <a:latin typeface="Arial" panose="020B0604020202020204" pitchFamily="34" charset="0"/>
              <a:cs typeface="Arial" panose="020B0604020202020204" pitchFamily="34" charset="0"/>
            </a:rPr>
            <a:pPr/>
            <a:t>71%</a:t>
          </a:fld>
          <a:endParaRPr lang="en-IN" sz="4000" b="1">
            <a:solidFill>
              <a:schemeClr val="bg1"/>
            </a:solidFill>
            <a:latin typeface="Arial" panose="020B0604020202020204" pitchFamily="34" charset="0"/>
            <a:cs typeface="Arial" panose="020B0604020202020204" pitchFamily="34" charset="0"/>
          </a:endParaRPr>
        </a:p>
      </xdr:txBody>
    </xdr:sp>
    <xdr:clientData/>
  </xdr:oneCellAnchor>
  <xdr:twoCellAnchor editAs="oneCell">
    <xdr:from>
      <xdr:col>1</xdr:col>
      <xdr:colOff>641580</xdr:colOff>
      <xdr:row>10</xdr:row>
      <xdr:rowOff>149945</xdr:rowOff>
    </xdr:from>
    <xdr:to>
      <xdr:col>4</xdr:col>
      <xdr:colOff>35017</xdr:colOff>
      <xdr:row>49</xdr:row>
      <xdr:rowOff>90286</xdr:rowOff>
    </xdr:to>
    <mc:AlternateContent xmlns:mc="http://schemas.openxmlformats.org/markup-compatibility/2006" xmlns:a14="http://schemas.microsoft.com/office/drawing/2010/main">
      <mc:Choice Requires="a14">
        <xdr:graphicFrame macro="">
          <xdr:nvGraphicFramePr>
            <xdr:cNvPr id="25" name="state_name 1">
              <a:extLst>
                <a:ext uri="{FF2B5EF4-FFF2-40B4-BE49-F238E27FC236}">
                  <a16:creationId xmlns:a16="http://schemas.microsoft.com/office/drawing/2014/main" id="{F8B4D6F7-8DAE-4D26-BF85-FB22CFDA957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_name 1"/>
            </a:graphicData>
          </a:graphic>
        </xdr:graphicFrame>
      </mc:Choice>
      <mc:Fallback xmlns="">
        <xdr:sp macro="" textlink="">
          <xdr:nvSpPr>
            <xdr:cNvPr id="0" name=""/>
            <xdr:cNvSpPr>
              <a:spLocks noTextEdit="1"/>
            </xdr:cNvSpPr>
          </xdr:nvSpPr>
          <xdr:spPr>
            <a:xfrm>
              <a:off x="1481155" y="2015667"/>
              <a:ext cx="1912161" cy="7210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70037</xdr:colOff>
      <xdr:row>10</xdr:row>
      <xdr:rowOff>161084</xdr:rowOff>
    </xdr:from>
    <xdr:to>
      <xdr:col>12</xdr:col>
      <xdr:colOff>490256</xdr:colOff>
      <xdr:row>49</xdr:row>
      <xdr:rowOff>70036</xdr:rowOff>
    </xdr:to>
    <xdr:graphicFrame macro="">
      <xdr:nvGraphicFramePr>
        <xdr:cNvPr id="26" name="Chart 25">
          <a:extLst>
            <a:ext uri="{FF2B5EF4-FFF2-40B4-BE49-F238E27FC236}">
              <a16:creationId xmlns:a16="http://schemas.microsoft.com/office/drawing/2014/main" id="{7E8BD59C-1B85-4BDD-B68D-2CBF852AD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679356</xdr:colOff>
      <xdr:row>11</xdr:row>
      <xdr:rowOff>7002</xdr:rowOff>
    </xdr:from>
    <xdr:ext cx="5743015" cy="868456"/>
    <xdr:sp macro="" textlink="">
      <xdr:nvSpPr>
        <xdr:cNvPr id="27" name="TextBox 26">
          <a:extLst>
            <a:ext uri="{FF2B5EF4-FFF2-40B4-BE49-F238E27FC236}">
              <a16:creationId xmlns:a16="http://schemas.microsoft.com/office/drawing/2014/main" id="{0A93D834-C67E-458F-9158-56B899724EB1}"/>
            </a:ext>
          </a:extLst>
        </xdr:cNvPr>
        <xdr:cNvSpPr txBox="1"/>
      </xdr:nvSpPr>
      <xdr:spPr>
        <a:xfrm>
          <a:off x="4041121" y="2087095"/>
          <a:ext cx="5743015" cy="868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i="0">
              <a:solidFill>
                <a:schemeClr val="bg1"/>
              </a:solidFill>
              <a:effectLst/>
              <a:latin typeface="Arial" panose="020B0604020202020204" pitchFamily="34" charset="0"/>
              <a:ea typeface="+mn-ea"/>
              <a:cs typeface="Arial" panose="020B0604020202020204" pitchFamily="34" charset="0"/>
            </a:rPr>
            <a:t>States : JobCards</a:t>
          </a:r>
          <a:r>
            <a:rPr lang="en-IN" sz="2400" b="1" i="0" baseline="0">
              <a:solidFill>
                <a:schemeClr val="bg1"/>
              </a:solidFill>
              <a:effectLst/>
              <a:latin typeface="Arial" panose="020B0604020202020204" pitchFamily="34" charset="0"/>
              <a:ea typeface="+mn-ea"/>
              <a:cs typeface="Arial" panose="020B0604020202020204" pitchFamily="34" charset="0"/>
            </a:rPr>
            <a:t> Issued vs Active JobCards:</a:t>
          </a:r>
          <a:endParaRPr lang="en-US" sz="2800" b="1" i="0" u="none" strike="noStrike">
            <a:solidFill>
              <a:schemeClr val="bg1"/>
            </a:solidFill>
            <a:latin typeface="Arial" panose="020B0604020202020204" pitchFamily="34" charset="0"/>
            <a:cs typeface="Arial" panose="020B0604020202020204" pitchFamily="34" charset="0"/>
          </a:endParaRPr>
        </a:p>
      </xdr:txBody>
    </xdr:sp>
    <xdr:clientData/>
  </xdr:oneCellAnchor>
  <xdr:twoCellAnchor>
    <xdr:from>
      <xdr:col>12</xdr:col>
      <xdr:colOff>147077</xdr:colOff>
      <xdr:row>15</xdr:row>
      <xdr:rowOff>63032</xdr:rowOff>
    </xdr:from>
    <xdr:to>
      <xdr:col>17</xdr:col>
      <xdr:colOff>497260</xdr:colOff>
      <xdr:row>31</xdr:row>
      <xdr:rowOff>161084</xdr:rowOff>
    </xdr:to>
    <xdr:sp macro="" textlink="">
      <xdr:nvSpPr>
        <xdr:cNvPr id="28" name="Rectangle: Rounded Corners 27">
          <a:extLst>
            <a:ext uri="{FF2B5EF4-FFF2-40B4-BE49-F238E27FC236}">
              <a16:creationId xmlns:a16="http://schemas.microsoft.com/office/drawing/2014/main" id="{EB1D790A-5BDD-4242-98EF-DE20062C81BD}"/>
            </a:ext>
          </a:extLst>
        </xdr:cNvPr>
        <xdr:cNvSpPr/>
      </xdr:nvSpPr>
      <xdr:spPr>
        <a:xfrm>
          <a:off x="10344430" y="2899522"/>
          <a:ext cx="4552389" cy="312364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Leading States in MGNREGA Job Card Utilization:</a:t>
          </a:r>
        </a:p>
      </xdr:txBody>
    </xdr:sp>
    <xdr:clientData/>
  </xdr:twoCellAnchor>
  <xdr:twoCellAnchor>
    <xdr:from>
      <xdr:col>12</xdr:col>
      <xdr:colOff>133070</xdr:colOff>
      <xdr:row>32</xdr:row>
      <xdr:rowOff>70037</xdr:rowOff>
    </xdr:from>
    <xdr:to>
      <xdr:col>17</xdr:col>
      <xdr:colOff>525276</xdr:colOff>
      <xdr:row>48</xdr:row>
      <xdr:rowOff>142313</xdr:rowOff>
    </xdr:to>
    <xdr:sp macro="" textlink="">
      <xdr:nvSpPr>
        <xdr:cNvPr id="29" name="Rectangle: Rounded Corners 28">
          <a:extLst>
            <a:ext uri="{FF2B5EF4-FFF2-40B4-BE49-F238E27FC236}">
              <a16:creationId xmlns:a16="http://schemas.microsoft.com/office/drawing/2014/main" id="{A8ED6C26-DCE5-44D4-BB21-D366FC6A4B29}"/>
            </a:ext>
          </a:extLst>
        </xdr:cNvPr>
        <xdr:cNvSpPr/>
      </xdr:nvSpPr>
      <xdr:spPr>
        <a:xfrm>
          <a:off x="10330423" y="6121213"/>
          <a:ext cx="4594412" cy="30978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IN" sz="1800" b="1">
              <a:solidFill>
                <a:srgbClr val="7030A0"/>
              </a:solidFill>
              <a:latin typeface="Arial" panose="020B0604020202020204" pitchFamily="34" charset="0"/>
              <a:cs typeface="Arial" panose="020B0604020202020204" pitchFamily="34" charset="0"/>
            </a:rPr>
            <a:t>Trailing States in MGNREGA Job Card Utilization:</a:t>
          </a:r>
          <a:endParaRPr lang="en-IN" sz="1800">
            <a:solidFill>
              <a:srgbClr val="7030A0"/>
            </a:solidFill>
            <a:latin typeface="Arial" panose="020B0604020202020204" pitchFamily="34" charset="0"/>
            <a:cs typeface="Arial" panose="020B0604020202020204" pitchFamily="34" charset="0"/>
          </a:endParaRPr>
        </a:p>
      </xdr:txBody>
    </xdr:sp>
    <xdr:clientData/>
  </xdr:twoCellAnchor>
  <xdr:twoCellAnchor>
    <xdr:from>
      <xdr:col>12</xdr:col>
      <xdr:colOff>182097</xdr:colOff>
      <xdr:row>18</xdr:row>
      <xdr:rowOff>175093</xdr:rowOff>
    </xdr:from>
    <xdr:to>
      <xdr:col>17</xdr:col>
      <xdr:colOff>315165</xdr:colOff>
      <xdr:row>31</xdr:row>
      <xdr:rowOff>56028</xdr:rowOff>
    </xdr:to>
    <xdr:graphicFrame macro="">
      <xdr:nvGraphicFramePr>
        <xdr:cNvPr id="30" name="Chart 29">
          <a:extLst>
            <a:ext uri="{FF2B5EF4-FFF2-40B4-BE49-F238E27FC236}">
              <a16:creationId xmlns:a16="http://schemas.microsoft.com/office/drawing/2014/main" id="{D012DE45-8CF4-4AB9-8E63-3B0B3D6F0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98053</xdr:colOff>
      <xdr:row>36</xdr:row>
      <xdr:rowOff>0</xdr:rowOff>
    </xdr:from>
    <xdr:to>
      <xdr:col>17</xdr:col>
      <xdr:colOff>189101</xdr:colOff>
      <xdr:row>48</xdr:row>
      <xdr:rowOff>111845</xdr:rowOff>
    </xdr:to>
    <xdr:graphicFrame macro="">
      <xdr:nvGraphicFramePr>
        <xdr:cNvPr id="31" name="Chart 30">
          <a:extLst>
            <a:ext uri="{FF2B5EF4-FFF2-40B4-BE49-F238E27FC236}">
              <a16:creationId xmlns:a16="http://schemas.microsoft.com/office/drawing/2014/main" id="{2A552599-ED65-4AA4-9BD0-E97D03447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572833</xdr:colOff>
      <xdr:row>8</xdr:row>
      <xdr:rowOff>90281</xdr:rowOff>
    </xdr:from>
    <xdr:to>
      <xdr:col>1</xdr:col>
      <xdr:colOff>532490</xdr:colOff>
      <xdr:row>12</xdr:row>
      <xdr:rowOff>89597</xdr:rowOff>
    </xdr:to>
    <xdr:pic>
      <xdr:nvPicPr>
        <xdr:cNvPr id="7" name="Graphic 32" descr="Business Growth with solid fill">
          <a:extLst>
            <a:ext uri="{FF2B5EF4-FFF2-40B4-BE49-F238E27FC236}">
              <a16:creationId xmlns:a16="http://schemas.microsoft.com/office/drawing/2014/main" id="{08E20394-ABC6-3FB2-23F1-F90CE2C8CD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2833" y="1582309"/>
          <a:ext cx="798923" cy="743249"/>
        </a:xfrm>
        <a:prstGeom prst="rect">
          <a:avLst/>
        </a:prstGeom>
      </xdr:spPr>
    </xdr:pic>
    <xdr:clientData/>
  </xdr:twoCellAnchor>
  <xdr:twoCellAnchor editAs="oneCell">
    <xdr:from>
      <xdr:col>0</xdr:col>
      <xdr:colOff>357944</xdr:colOff>
      <xdr:row>23</xdr:row>
      <xdr:rowOff>129548</xdr:rowOff>
    </xdr:from>
    <xdr:to>
      <xdr:col>1</xdr:col>
      <xdr:colOff>678192</xdr:colOff>
      <xdr:row>29</xdr:row>
      <xdr:rowOff>151514</xdr:rowOff>
    </xdr:to>
    <xdr:pic>
      <xdr:nvPicPr>
        <xdr:cNvPr id="5" name="Graphic 34" descr="Checklist with solid fill">
          <a:extLst>
            <a:ext uri="{FF2B5EF4-FFF2-40B4-BE49-F238E27FC236}">
              <a16:creationId xmlns:a16="http://schemas.microsoft.com/office/drawing/2014/main" id="{F4AF4A33-027B-EB3C-ADC1-2864907DBB0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7944" y="4538874"/>
          <a:ext cx="1160375" cy="1145702"/>
        </a:xfrm>
        <a:prstGeom prst="rect">
          <a:avLst/>
        </a:prstGeom>
      </xdr:spPr>
    </xdr:pic>
    <xdr:clientData/>
  </xdr:twoCellAnchor>
  <xdr:twoCellAnchor editAs="oneCell">
    <xdr:from>
      <xdr:col>0</xdr:col>
      <xdr:colOff>504861</xdr:colOff>
      <xdr:row>15</xdr:row>
      <xdr:rowOff>6935</xdr:rowOff>
    </xdr:from>
    <xdr:to>
      <xdr:col>1</xdr:col>
      <xdr:colOff>530129</xdr:colOff>
      <xdr:row>19</xdr:row>
      <xdr:rowOff>129514</xdr:rowOff>
    </xdr:to>
    <xdr:pic>
      <xdr:nvPicPr>
        <xdr:cNvPr id="21" name="Graphic 36" descr="Social network with solid fill">
          <a:extLst>
            <a:ext uri="{FF2B5EF4-FFF2-40B4-BE49-F238E27FC236}">
              <a16:creationId xmlns:a16="http://schemas.microsoft.com/office/drawing/2014/main" id="{B9FF2DF3-5FF0-60B8-49AB-B87D0D8D7FB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04861" y="2917946"/>
          <a:ext cx="865395" cy="871736"/>
        </a:xfrm>
        <a:prstGeom prst="rect">
          <a:avLst/>
        </a:prstGeom>
      </xdr:spPr>
    </xdr:pic>
    <xdr:clientData/>
  </xdr:twoCellAnchor>
  <xdr:twoCellAnchor editAs="oneCell">
    <xdr:from>
      <xdr:col>0</xdr:col>
      <xdr:colOff>459907</xdr:colOff>
      <xdr:row>0</xdr:row>
      <xdr:rowOff>127792</xdr:rowOff>
    </xdr:from>
    <xdr:to>
      <xdr:col>1</xdr:col>
      <xdr:colOff>534602</xdr:colOff>
      <xdr:row>5</xdr:row>
      <xdr:rowOff>127692</xdr:rowOff>
    </xdr:to>
    <xdr:pic>
      <xdr:nvPicPr>
        <xdr:cNvPr id="39" name="Graphic 38" descr="Bank with solid fill">
          <a:extLst>
            <a:ext uri="{FF2B5EF4-FFF2-40B4-BE49-F238E27FC236}">
              <a16:creationId xmlns:a16="http://schemas.microsoft.com/office/drawing/2014/main" id="{265C450E-3202-4DF2-90CA-73C578311B8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9907" y="127792"/>
          <a:ext cx="909763" cy="913256"/>
        </a:xfrm>
        <a:prstGeom prst="rect">
          <a:avLst/>
        </a:prstGeom>
      </xdr:spPr>
    </xdr:pic>
    <xdr:clientData/>
  </xdr:twoCellAnchor>
  <xdr:twoCellAnchor editAs="oneCell">
    <xdr:from>
      <xdr:col>0</xdr:col>
      <xdr:colOff>425866</xdr:colOff>
      <xdr:row>33</xdr:row>
      <xdr:rowOff>130060</xdr:rowOff>
    </xdr:from>
    <xdr:to>
      <xdr:col>1</xdr:col>
      <xdr:colOff>560610</xdr:colOff>
      <xdr:row>39</xdr:row>
      <xdr:rowOff>5352</xdr:rowOff>
    </xdr:to>
    <xdr:pic>
      <xdr:nvPicPr>
        <xdr:cNvPr id="40" name="Graphic 39" descr="Briefcase with solid fill">
          <a:extLst>
            <a:ext uri="{FF2B5EF4-FFF2-40B4-BE49-F238E27FC236}">
              <a16:creationId xmlns:a16="http://schemas.microsoft.com/office/drawing/2014/main" id="{84F14B9A-F89D-4834-8C92-CE1186D7AFA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25866" y="6412279"/>
          <a:ext cx="974871" cy="999028"/>
        </a:xfrm>
        <a:prstGeom prst="rect">
          <a:avLst/>
        </a:prstGeom>
      </xdr:spPr>
    </xdr:pic>
    <xdr:clientData/>
  </xdr:twoCellAnchor>
  <xdr:twoCellAnchor editAs="oneCell">
    <xdr:from>
      <xdr:col>0</xdr:col>
      <xdr:colOff>278259</xdr:colOff>
      <xdr:row>42</xdr:row>
      <xdr:rowOff>26756</xdr:rowOff>
    </xdr:from>
    <xdr:to>
      <xdr:col>1</xdr:col>
      <xdr:colOff>791966</xdr:colOff>
      <xdr:row>49</xdr:row>
      <xdr:rowOff>21405</xdr:rowOff>
    </xdr:to>
    <xdr:pic>
      <xdr:nvPicPr>
        <xdr:cNvPr id="45" name="Picture 44">
          <a:extLst>
            <a:ext uri="{FF2B5EF4-FFF2-40B4-BE49-F238E27FC236}">
              <a16:creationId xmlns:a16="http://schemas.microsoft.com/office/drawing/2014/main" id="{17362911-E91F-4C90-A9AD-C236A49B3DB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78259" y="7994580"/>
          <a:ext cx="1353834" cy="13056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827924</xdr:colOff>
      <xdr:row>0</xdr:row>
      <xdr:rowOff>115663</xdr:rowOff>
    </xdr:from>
    <xdr:to>
      <xdr:col>3</xdr:col>
      <xdr:colOff>489856</xdr:colOff>
      <xdr:row>3</xdr:row>
      <xdr:rowOff>128801</xdr:rowOff>
    </xdr:to>
    <xdr:pic>
      <xdr:nvPicPr>
        <xdr:cNvPr id="4" name="Picture 3">
          <a:extLst>
            <a:ext uri="{FF2B5EF4-FFF2-40B4-BE49-F238E27FC236}">
              <a16:creationId xmlns:a16="http://schemas.microsoft.com/office/drawing/2014/main" id="{38842C8A-AEC9-4CAF-A940-D4E4C094F314}"/>
            </a:ext>
          </a:extLst>
        </xdr:cNvPr>
        <xdr:cNvPicPr>
          <a:picLocks noChangeAspect="1" noChangeArrowheads="1"/>
        </xdr:cNvPicPr>
      </xdr:nvPicPr>
      <xdr:blipFill>
        <a:blip xmlns:r="http://schemas.openxmlformats.org/officeDocument/2006/relationships" r:embed="rId17" cstate="print">
          <a:duotone>
            <a:prstClr val="black"/>
            <a:schemeClr val="tx1">
              <a:tint val="45000"/>
              <a:satMod val="400000"/>
            </a:schemeClr>
          </a:duotone>
          <a:extLst>
            <a:ext uri="{28A0092B-C50C-407E-A947-70E740481C1C}">
              <a14:useLocalDpi xmlns:a14="http://schemas.microsoft.com/office/drawing/2010/main" val="0"/>
            </a:ext>
          </a:extLst>
        </a:blip>
        <a:srcRect/>
        <a:stretch>
          <a:fillRect/>
        </a:stretch>
      </xdr:blipFill>
      <xdr:spPr bwMode="auto">
        <a:xfrm>
          <a:off x="1664764" y="115663"/>
          <a:ext cx="1335611" cy="564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349702</xdr:colOff>
      <xdr:row>0</xdr:row>
      <xdr:rowOff>173490</xdr:rowOff>
    </xdr:from>
    <xdr:to>
      <xdr:col>11</xdr:col>
      <xdr:colOff>224518</xdr:colOff>
      <xdr:row>38</xdr:row>
      <xdr:rowOff>115660</xdr:rowOff>
    </xdr:to>
    <xdr:graphicFrame macro="">
      <xdr:nvGraphicFramePr>
        <xdr:cNvPr id="2" name="Chart 1">
          <a:extLst>
            <a:ext uri="{FF2B5EF4-FFF2-40B4-BE49-F238E27FC236}">
              <a16:creationId xmlns:a16="http://schemas.microsoft.com/office/drawing/2014/main" id="{51072AD4-E221-20E9-541D-6C01AFC9D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268738</xdr:colOff>
      <xdr:row>9</xdr:row>
      <xdr:rowOff>57147</xdr:rowOff>
    </xdr:from>
    <xdr:to>
      <xdr:col>27</xdr:col>
      <xdr:colOff>210910</xdr:colOff>
      <xdr:row>30</xdr:row>
      <xdr:rowOff>13607</xdr:rowOff>
    </xdr:to>
    <xdr:graphicFrame macro="">
      <xdr:nvGraphicFramePr>
        <xdr:cNvPr id="3" name="Chart 2">
          <a:extLst>
            <a:ext uri="{FF2B5EF4-FFF2-40B4-BE49-F238E27FC236}">
              <a16:creationId xmlns:a16="http://schemas.microsoft.com/office/drawing/2014/main" id="{512CFAA7-A350-C183-1AF4-E0DBE12D3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554490</xdr:colOff>
      <xdr:row>41</xdr:row>
      <xdr:rowOff>172809</xdr:rowOff>
    </xdr:from>
    <xdr:to>
      <xdr:col>9</xdr:col>
      <xdr:colOff>105454</xdr:colOff>
      <xdr:row>55</xdr:row>
      <xdr:rowOff>153759</xdr:rowOff>
    </xdr:to>
    <xdr:graphicFrame macro="">
      <xdr:nvGraphicFramePr>
        <xdr:cNvPr id="4" name="Chart 3">
          <a:extLst>
            <a:ext uri="{FF2B5EF4-FFF2-40B4-BE49-F238E27FC236}">
              <a16:creationId xmlns:a16="http://schemas.microsoft.com/office/drawing/2014/main" id="{23DF4D2C-D965-0AF9-E4E5-B029DDCEF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813027</xdr:colOff>
      <xdr:row>59</xdr:row>
      <xdr:rowOff>152398</xdr:rowOff>
    </xdr:from>
    <xdr:to>
      <xdr:col>9</xdr:col>
      <xdr:colOff>363991</xdr:colOff>
      <xdr:row>73</xdr:row>
      <xdr:rowOff>133348</xdr:rowOff>
    </xdr:to>
    <xdr:graphicFrame macro="">
      <xdr:nvGraphicFramePr>
        <xdr:cNvPr id="5" name="Chart 4">
          <a:extLst>
            <a:ext uri="{FF2B5EF4-FFF2-40B4-BE49-F238E27FC236}">
              <a16:creationId xmlns:a16="http://schemas.microsoft.com/office/drawing/2014/main" id="{1BAD82BA-2870-3C2D-9F9B-A1C1346D1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721859</xdr:colOff>
      <xdr:row>42</xdr:row>
      <xdr:rowOff>15648</xdr:rowOff>
    </xdr:from>
    <xdr:to>
      <xdr:col>12</xdr:col>
      <xdr:colOff>1081768</xdr:colOff>
      <xdr:row>69</xdr:row>
      <xdr:rowOff>34017</xdr:rowOff>
    </xdr:to>
    <mc:AlternateContent xmlns:mc="http://schemas.openxmlformats.org/markup-compatibility/2006" xmlns:a14="http://schemas.microsoft.com/office/drawing/2010/main">
      <mc:Choice Requires="a14">
        <xdr:graphicFrame macro="">
          <xdr:nvGraphicFramePr>
            <xdr:cNvPr id="7" name="state_name 2">
              <a:extLst>
                <a:ext uri="{FF2B5EF4-FFF2-40B4-BE49-F238E27FC236}">
                  <a16:creationId xmlns:a16="http://schemas.microsoft.com/office/drawing/2014/main" id="{5483FB6C-5D51-FDC0-B05B-EA3F6B95DE78}"/>
                </a:ext>
              </a:extLst>
            </xdr:cNvPr>
            <xdr:cNvGraphicFramePr/>
          </xdr:nvGraphicFramePr>
          <xdr:xfrm>
            <a:off x="0" y="0"/>
            <a:ext cx="0" cy="0"/>
          </xdr:xfrm>
          <a:graphic>
            <a:graphicData uri="http://schemas.microsoft.com/office/drawing/2010/slicer">
              <sle:slicer xmlns:sle="http://schemas.microsoft.com/office/drawing/2010/slicer" name="state_name 2"/>
            </a:graphicData>
          </a:graphic>
        </xdr:graphicFrame>
      </mc:Choice>
      <mc:Fallback xmlns="">
        <xdr:sp macro="" textlink="">
          <xdr:nvSpPr>
            <xdr:cNvPr id="0" name=""/>
            <xdr:cNvSpPr>
              <a:spLocks noTextEdit="1"/>
            </xdr:cNvSpPr>
          </xdr:nvSpPr>
          <xdr:spPr>
            <a:xfrm>
              <a:off x="11131323" y="8302398"/>
              <a:ext cx="2033588" cy="5345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796637</xdr:colOff>
      <xdr:row>0</xdr:row>
      <xdr:rowOff>69273</xdr:rowOff>
    </xdr:from>
    <xdr:to>
      <xdr:col>15</xdr:col>
      <xdr:colOff>140074</xdr:colOff>
      <xdr:row>3</xdr:row>
      <xdr:rowOff>170089</xdr:rowOff>
    </xdr:to>
    <xdr:sp macro="" textlink="">
      <xdr:nvSpPr>
        <xdr:cNvPr id="5" name="Rectangle: Rounded Corners 4">
          <a:extLst>
            <a:ext uri="{FF2B5EF4-FFF2-40B4-BE49-F238E27FC236}">
              <a16:creationId xmlns:a16="http://schemas.microsoft.com/office/drawing/2014/main" id="{80B84E1E-28AE-4C4B-A443-730E2401329D}"/>
            </a:ext>
          </a:extLst>
        </xdr:cNvPr>
        <xdr:cNvSpPr/>
      </xdr:nvSpPr>
      <xdr:spPr>
        <a:xfrm>
          <a:off x="1637078" y="69273"/>
          <a:ext cx="11109614" cy="675118"/>
        </a:xfrm>
        <a:prstGeom prst="roundRect">
          <a:avLst>
            <a:gd name="adj" fmla="val 2415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2400" b="1">
              <a:solidFill>
                <a:srgbClr val="7030A0"/>
              </a:solidFill>
              <a:latin typeface="Arial" panose="020B0604020202020204" pitchFamily="34" charset="0"/>
              <a:ea typeface="Verdana" panose="020B0604030504040204" pitchFamily="34" charset="0"/>
              <a:cs typeface="Arial" panose="020B0604020202020204" pitchFamily="34" charset="0"/>
            </a:rPr>
            <a:t>                MGNREGA - WORKER</a:t>
          </a:r>
          <a:r>
            <a:rPr lang="en-IN" sz="2400" b="1" baseline="0">
              <a:solidFill>
                <a:srgbClr val="7030A0"/>
              </a:solidFill>
              <a:latin typeface="Arial" panose="020B0604020202020204" pitchFamily="34" charset="0"/>
              <a:ea typeface="Verdana" panose="020B0604030504040204" pitchFamily="34" charset="0"/>
              <a:cs typeface="Arial" panose="020B0604020202020204" pitchFamily="34" charset="0"/>
            </a:rPr>
            <a:t> PARTICIPATION </a:t>
          </a:r>
          <a:r>
            <a:rPr lang="en-IN" sz="2400" b="1">
              <a:solidFill>
                <a:srgbClr val="7030A0"/>
              </a:solidFill>
              <a:latin typeface="Arial" panose="020B0604020202020204" pitchFamily="34" charset="0"/>
              <a:ea typeface="Verdana" panose="020B0604030504040204" pitchFamily="34" charset="0"/>
              <a:cs typeface="Arial" panose="020B0604020202020204" pitchFamily="34" charset="0"/>
            </a:rPr>
            <a:t>: STATEWISE ANALYSIS   </a:t>
          </a:r>
        </a:p>
      </xdr:txBody>
    </xdr:sp>
    <xdr:clientData/>
  </xdr:twoCellAnchor>
  <xdr:twoCellAnchor>
    <xdr:from>
      <xdr:col>0</xdr:col>
      <xdr:colOff>666750</xdr:colOff>
      <xdr:row>0</xdr:row>
      <xdr:rowOff>69272</xdr:rowOff>
    </xdr:from>
    <xdr:to>
      <xdr:col>1</xdr:col>
      <xdr:colOff>759150</xdr:colOff>
      <xdr:row>32</xdr:row>
      <xdr:rowOff>42</xdr:rowOff>
    </xdr:to>
    <xdr:sp macro="" textlink="">
      <xdr:nvSpPr>
        <xdr:cNvPr id="6" name="Rectangle: Rounded Corners 1">
          <a:extLst>
            <a:ext uri="{FF2B5EF4-FFF2-40B4-BE49-F238E27FC236}">
              <a16:creationId xmlns:a16="http://schemas.microsoft.com/office/drawing/2014/main" id="{ED772445-4AF6-42F3-AAAE-4F9319E89CFC}"/>
            </a:ext>
          </a:extLst>
        </xdr:cNvPr>
        <xdr:cNvSpPr/>
      </xdr:nvSpPr>
      <xdr:spPr>
        <a:xfrm>
          <a:off x="666750" y="69272"/>
          <a:ext cx="928891" cy="5987693"/>
        </a:xfrm>
        <a:prstGeom prst="roundRect">
          <a:avLst>
            <a:gd name="adj" fmla="val 7884"/>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823231</xdr:colOff>
      <xdr:row>4</xdr:row>
      <xdr:rowOff>27214</xdr:rowOff>
    </xdr:from>
    <xdr:to>
      <xdr:col>4</xdr:col>
      <xdr:colOff>340180</xdr:colOff>
      <xdr:row>10</xdr:row>
      <xdr:rowOff>149679</xdr:rowOff>
    </xdr:to>
    <xdr:sp macro="" textlink="">
      <xdr:nvSpPr>
        <xdr:cNvPr id="7" name="Rectangle: Rounded Corners 6">
          <a:extLst>
            <a:ext uri="{FF2B5EF4-FFF2-40B4-BE49-F238E27FC236}">
              <a16:creationId xmlns:a16="http://schemas.microsoft.com/office/drawing/2014/main" id="{2C48073F-A537-4127-87F1-E4B258D06AEA}"/>
            </a:ext>
          </a:extLst>
        </xdr:cNvPr>
        <xdr:cNvSpPr/>
      </xdr:nvSpPr>
      <xdr:spPr>
        <a:xfrm>
          <a:off x="1660071" y="789214"/>
          <a:ext cx="2027466" cy="1265465"/>
        </a:xfrm>
        <a:prstGeom prst="roundRect">
          <a:avLst>
            <a:gd name="adj" fmla="val 1182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No.of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1</xdr:col>
      <xdr:colOff>799772</xdr:colOff>
      <xdr:row>7</xdr:row>
      <xdr:rowOff>166997</xdr:rowOff>
    </xdr:from>
    <xdr:ext cx="2302577" cy="1176028"/>
    <xdr:sp macro="" textlink="'Job Card Utilization rate'!C81">
      <xdr:nvSpPr>
        <xdr:cNvPr id="10" name="TextBox 9">
          <a:extLst>
            <a:ext uri="{FF2B5EF4-FFF2-40B4-BE49-F238E27FC236}">
              <a16:creationId xmlns:a16="http://schemas.microsoft.com/office/drawing/2014/main" id="{3E8C599C-F188-9831-B5BF-205805926749}"/>
            </a:ext>
          </a:extLst>
        </xdr:cNvPr>
        <xdr:cNvSpPr txBox="1"/>
      </xdr:nvSpPr>
      <xdr:spPr>
        <a:xfrm>
          <a:off x="1640213" y="1507034"/>
          <a:ext cx="2302577" cy="11760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CF61243-517C-43D8-ACE2-F7EAE9BE211F}" type="TxLink">
            <a:rPr lang="en-US" sz="2400" b="1" i="0" u="none" strike="noStrike">
              <a:solidFill>
                <a:schemeClr val="accent4"/>
              </a:solidFill>
              <a:latin typeface="Arial" panose="020B0604020202020204" pitchFamily="34" charset="0"/>
              <a:ea typeface="+mn-ea"/>
              <a:cs typeface="Arial" panose="020B0604020202020204" pitchFamily="34" charset="0"/>
            </a:rPr>
            <a:pPr/>
            <a:t> 9,42,85,624 </a:t>
          </a:fld>
          <a:endParaRPr lang="en-IN" sz="2400" b="1" i="0" u="none" strike="noStrike">
            <a:solidFill>
              <a:schemeClr val="accent4"/>
            </a:solidFill>
            <a:latin typeface="Arial" panose="020B0604020202020204" pitchFamily="34" charset="0"/>
            <a:ea typeface="+mn-ea"/>
            <a:cs typeface="Arial" panose="020B0604020202020204" pitchFamily="34" charset="0"/>
          </a:endParaRPr>
        </a:p>
      </xdr:txBody>
    </xdr:sp>
    <xdr:clientData/>
  </xdr:oneCellAnchor>
  <xdr:twoCellAnchor>
    <xdr:from>
      <xdr:col>4</xdr:col>
      <xdr:colOff>421823</xdr:colOff>
      <xdr:row>4</xdr:row>
      <xdr:rowOff>27213</xdr:rowOff>
    </xdr:from>
    <xdr:to>
      <xdr:col>7</xdr:col>
      <xdr:colOff>20410</xdr:colOff>
      <xdr:row>10</xdr:row>
      <xdr:rowOff>142875</xdr:rowOff>
    </xdr:to>
    <xdr:sp macro="" textlink="">
      <xdr:nvSpPr>
        <xdr:cNvPr id="11" name="Rectangle: Rounded Corners 10">
          <a:extLst>
            <a:ext uri="{FF2B5EF4-FFF2-40B4-BE49-F238E27FC236}">
              <a16:creationId xmlns:a16="http://schemas.microsoft.com/office/drawing/2014/main" id="{56C3D68F-C3F9-4D9A-BBD8-2C2397D989D3}"/>
            </a:ext>
          </a:extLst>
        </xdr:cNvPr>
        <xdr:cNvSpPr/>
      </xdr:nvSpPr>
      <xdr:spPr>
        <a:xfrm>
          <a:off x="3769180" y="789213"/>
          <a:ext cx="2109106" cy="1258662"/>
        </a:xfrm>
        <a:prstGeom prst="roundRect">
          <a:avLst>
            <a:gd name="adj" fmla="val 8559"/>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No.of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4</xdr:col>
      <xdr:colOff>400077</xdr:colOff>
      <xdr:row>7</xdr:row>
      <xdr:rowOff>115261</xdr:rowOff>
    </xdr:from>
    <xdr:ext cx="2120313" cy="862453"/>
    <xdr:sp macro="" textlink="'Job Card Utilization rate'!I81">
      <xdr:nvSpPr>
        <xdr:cNvPr id="12" name="TextBox 11">
          <a:extLst>
            <a:ext uri="{FF2B5EF4-FFF2-40B4-BE49-F238E27FC236}">
              <a16:creationId xmlns:a16="http://schemas.microsoft.com/office/drawing/2014/main" id="{E59B2409-46DB-C67F-4687-26D9085541E5}"/>
            </a:ext>
          </a:extLst>
        </xdr:cNvPr>
        <xdr:cNvSpPr txBox="1"/>
      </xdr:nvSpPr>
      <xdr:spPr>
        <a:xfrm>
          <a:off x="3761842" y="1455298"/>
          <a:ext cx="2120313" cy="862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7078DA2-88F4-4158-80D7-56791D40616E}" type="TxLink">
            <a:rPr lang="en-US" sz="2400" b="1" i="0" u="none" strike="noStrike">
              <a:solidFill>
                <a:schemeClr val="accent4"/>
              </a:solidFill>
              <a:latin typeface="Arial" panose="020B0604020202020204" pitchFamily="34" charset="0"/>
              <a:ea typeface="+mn-ea"/>
              <a:cs typeface="Arial" panose="020B0604020202020204" pitchFamily="34" charset="0"/>
            </a:rPr>
            <a:pPr marL="0" indent="0"/>
            <a:t> 6,65,22,128 </a:t>
          </a:fld>
          <a:endParaRPr lang="en-IN" sz="2400" b="1" i="0" u="none" strike="noStrike">
            <a:solidFill>
              <a:schemeClr val="accent4"/>
            </a:solidFill>
            <a:latin typeface="Arial" panose="020B0604020202020204" pitchFamily="34" charset="0"/>
            <a:ea typeface="+mn-ea"/>
            <a:cs typeface="Arial" panose="020B0604020202020204" pitchFamily="34" charset="0"/>
          </a:endParaRPr>
        </a:p>
      </xdr:txBody>
    </xdr:sp>
    <xdr:clientData/>
  </xdr:oneCellAnchor>
  <xdr:twoCellAnchor>
    <xdr:from>
      <xdr:col>2</xdr:col>
      <xdr:colOff>-1</xdr:colOff>
      <xdr:row>11</xdr:row>
      <xdr:rowOff>34018</xdr:rowOff>
    </xdr:from>
    <xdr:to>
      <xdr:col>7</xdr:col>
      <xdr:colOff>20410</xdr:colOff>
      <xdr:row>32</xdr:row>
      <xdr:rowOff>40821</xdr:rowOff>
    </xdr:to>
    <xdr:sp macro="" textlink="">
      <xdr:nvSpPr>
        <xdr:cNvPr id="13" name="Rectangle: Rounded Corners 12">
          <a:extLst>
            <a:ext uri="{FF2B5EF4-FFF2-40B4-BE49-F238E27FC236}">
              <a16:creationId xmlns:a16="http://schemas.microsoft.com/office/drawing/2014/main" id="{7AF6C866-27E0-4415-A8BA-B9DED09F2406}"/>
            </a:ext>
          </a:extLst>
        </xdr:cNvPr>
        <xdr:cNvSpPr/>
      </xdr:nvSpPr>
      <xdr:spPr>
        <a:xfrm>
          <a:off x="1673678" y="2129518"/>
          <a:ext cx="4204608" cy="4007303"/>
        </a:xfrm>
        <a:prstGeom prst="roundRect">
          <a:avLst>
            <a:gd name="adj" fmla="val 5292"/>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IN" sz="1800" b="1">
              <a:solidFill>
                <a:srgbClr val="7030A0"/>
              </a:solidFill>
              <a:latin typeface="Arial" panose="020B0604020202020204" pitchFamily="34" charset="0"/>
              <a:ea typeface="+mn-ea"/>
              <a:cs typeface="Arial" panose="020B0604020202020204" pitchFamily="34" charset="0"/>
            </a:rPr>
            <a:t>Percentage</a:t>
          </a:r>
          <a:r>
            <a:rPr lang="en-IN" sz="1100" b="1" i="0">
              <a:solidFill>
                <a:schemeClr val="dk1"/>
              </a:solidFill>
              <a:effectLst/>
              <a:latin typeface="+mn-lt"/>
              <a:ea typeface="+mn-ea"/>
              <a:cs typeface="+mn-cs"/>
            </a:rPr>
            <a:t> </a:t>
          </a:r>
          <a:r>
            <a:rPr lang="en-IN" sz="1800" b="1" i="0">
              <a:solidFill>
                <a:srgbClr val="7030A0"/>
              </a:solidFill>
              <a:effectLst/>
              <a:latin typeface="Arial" panose="020B0604020202020204" pitchFamily="34" charset="0"/>
              <a:ea typeface="+mn-ea"/>
              <a:cs typeface="Arial" panose="020B0604020202020204" pitchFamily="34" charset="0"/>
            </a:rPr>
            <a:t>of Active Workers:</a:t>
          </a:r>
          <a:endParaRPr lang="en-IN" sz="1800">
            <a:solidFill>
              <a:srgbClr val="7030A0"/>
            </a:solidFill>
            <a:effectLst/>
            <a:latin typeface="Arial" panose="020B0604020202020204" pitchFamily="34" charset="0"/>
            <a:cs typeface="Arial" panose="020B0604020202020204" pitchFamily="34" charset="0"/>
          </a:endParaRPr>
        </a:p>
      </xdr:txBody>
    </xdr:sp>
    <xdr:clientData/>
  </xdr:twoCellAnchor>
  <xdr:twoCellAnchor>
    <xdr:from>
      <xdr:col>2</xdr:col>
      <xdr:colOff>88445</xdr:colOff>
      <xdr:row>16</xdr:row>
      <xdr:rowOff>129268</xdr:rowOff>
    </xdr:from>
    <xdr:to>
      <xdr:col>6</xdr:col>
      <xdr:colOff>771183</xdr:colOff>
      <xdr:row>30</xdr:row>
      <xdr:rowOff>175986</xdr:rowOff>
    </xdr:to>
    <xdr:graphicFrame macro="">
      <xdr:nvGraphicFramePr>
        <xdr:cNvPr id="14" name="Chart 13">
          <a:extLst>
            <a:ext uri="{FF2B5EF4-FFF2-40B4-BE49-F238E27FC236}">
              <a16:creationId xmlns:a16="http://schemas.microsoft.com/office/drawing/2014/main" id="{845405CA-92A9-4C58-BA9E-96033183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299356</xdr:colOff>
      <xdr:row>22</xdr:row>
      <xdr:rowOff>27215</xdr:rowOff>
    </xdr:from>
    <xdr:ext cx="1421947" cy="505267"/>
    <xdr:sp macro="" textlink="'Job Card Utilization rate'!$D$89">
      <xdr:nvSpPr>
        <xdr:cNvPr id="15" name="TextBox 14">
          <a:extLst>
            <a:ext uri="{FF2B5EF4-FFF2-40B4-BE49-F238E27FC236}">
              <a16:creationId xmlns:a16="http://schemas.microsoft.com/office/drawing/2014/main" id="{79296E1F-9E64-B312-EE2C-7CB441E2F3EE}"/>
            </a:ext>
          </a:extLst>
        </xdr:cNvPr>
        <xdr:cNvSpPr txBox="1"/>
      </xdr:nvSpPr>
      <xdr:spPr>
        <a:xfrm>
          <a:off x="2809875" y="4218215"/>
          <a:ext cx="1421947"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463C3CF-8D6F-4EDD-A61D-15EE411EE12C}" type="TxLink">
            <a:rPr lang="en-US" sz="2800" b="1" i="0" u="none" strike="noStrike">
              <a:solidFill>
                <a:schemeClr val="bg1"/>
              </a:solidFill>
              <a:latin typeface="Arial" panose="020B0604020202020204" pitchFamily="34" charset="0"/>
              <a:cs typeface="Arial" panose="020B0604020202020204" pitchFamily="34" charset="0"/>
            </a:rPr>
            <a:pPr/>
            <a:t>71%</a:t>
          </a:fld>
          <a:endParaRPr lang="en-IN" sz="2400" b="1">
            <a:solidFill>
              <a:schemeClr val="bg1"/>
            </a:solidFill>
            <a:latin typeface="Arial" panose="020B0604020202020204" pitchFamily="34" charset="0"/>
            <a:cs typeface="Arial" panose="020B0604020202020204" pitchFamily="34" charset="0"/>
          </a:endParaRPr>
        </a:p>
      </xdr:txBody>
    </xdr:sp>
    <xdr:clientData/>
  </xdr:oneCellAnchor>
  <xdr:twoCellAnchor>
    <xdr:from>
      <xdr:col>7</xdr:col>
      <xdr:colOff>102052</xdr:colOff>
      <xdr:row>4</xdr:row>
      <xdr:rowOff>40821</xdr:rowOff>
    </xdr:from>
    <xdr:to>
      <xdr:col>12</xdr:col>
      <xdr:colOff>449036</xdr:colOff>
      <xdr:row>17</xdr:row>
      <xdr:rowOff>129268</xdr:rowOff>
    </xdr:to>
    <xdr:sp macro="" textlink="">
      <xdr:nvSpPr>
        <xdr:cNvPr id="17" name="Rectangle: Rounded Corners 16">
          <a:extLst>
            <a:ext uri="{FF2B5EF4-FFF2-40B4-BE49-F238E27FC236}">
              <a16:creationId xmlns:a16="http://schemas.microsoft.com/office/drawing/2014/main" id="{529906C8-C072-40BA-BC7D-F3E0ECA5ACE3}"/>
            </a:ext>
          </a:extLst>
        </xdr:cNvPr>
        <xdr:cNvSpPr/>
      </xdr:nvSpPr>
      <xdr:spPr>
        <a:xfrm>
          <a:off x="5959928" y="802821"/>
          <a:ext cx="4531179" cy="2564947"/>
        </a:xfrm>
        <a:prstGeom prst="roundRect">
          <a:avLst>
            <a:gd name="adj" fmla="val 7819"/>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Top 7</a:t>
          </a:r>
          <a:r>
            <a:rPr lang="en-IN" sz="1800" b="1" baseline="0">
              <a:solidFill>
                <a:srgbClr val="7030A0"/>
              </a:solidFill>
              <a:latin typeface="Arial" panose="020B0604020202020204" pitchFamily="34" charset="0"/>
              <a:cs typeface="Arial" panose="020B0604020202020204" pitchFamily="34" charset="0"/>
            </a:rPr>
            <a:t> States With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7</xdr:col>
      <xdr:colOff>102055</xdr:colOff>
      <xdr:row>18</xdr:row>
      <xdr:rowOff>0</xdr:rowOff>
    </xdr:from>
    <xdr:to>
      <xdr:col>12</xdr:col>
      <xdr:colOff>435430</xdr:colOff>
      <xdr:row>32</xdr:row>
      <xdr:rowOff>20412</xdr:rowOff>
    </xdr:to>
    <xdr:sp macro="" textlink="">
      <xdr:nvSpPr>
        <xdr:cNvPr id="18" name="Rectangle: Rounded Corners 17">
          <a:extLst>
            <a:ext uri="{FF2B5EF4-FFF2-40B4-BE49-F238E27FC236}">
              <a16:creationId xmlns:a16="http://schemas.microsoft.com/office/drawing/2014/main" id="{1EDCDF06-279A-4AA2-9424-CE1419A97A99}"/>
            </a:ext>
          </a:extLst>
        </xdr:cNvPr>
        <xdr:cNvSpPr/>
      </xdr:nvSpPr>
      <xdr:spPr>
        <a:xfrm>
          <a:off x="5959931" y="3429000"/>
          <a:ext cx="4517570" cy="2687412"/>
        </a:xfrm>
        <a:prstGeom prst="roundRect">
          <a:avLst>
            <a:gd name="adj" fmla="val 965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Bottom 7</a:t>
          </a:r>
          <a:r>
            <a:rPr lang="en-IN" sz="1800" b="1" baseline="0">
              <a:solidFill>
                <a:srgbClr val="7030A0"/>
              </a:solidFill>
              <a:latin typeface="Arial" panose="020B0604020202020204" pitchFamily="34" charset="0"/>
              <a:cs typeface="Arial" panose="020B0604020202020204" pitchFamily="34" charset="0"/>
            </a:rPr>
            <a:t> States With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7</xdr:col>
      <xdr:colOff>68034</xdr:colOff>
      <xdr:row>6</xdr:row>
      <xdr:rowOff>6804</xdr:rowOff>
    </xdr:from>
    <xdr:to>
      <xdr:col>12</xdr:col>
      <xdr:colOff>428624</xdr:colOff>
      <xdr:row>17</xdr:row>
      <xdr:rowOff>95250</xdr:rowOff>
    </xdr:to>
    <xdr:graphicFrame macro="">
      <xdr:nvGraphicFramePr>
        <xdr:cNvPr id="19" name="Chart 18">
          <a:extLst>
            <a:ext uri="{FF2B5EF4-FFF2-40B4-BE49-F238E27FC236}">
              <a16:creationId xmlns:a16="http://schemas.microsoft.com/office/drawing/2014/main" id="{B4268861-F1E6-49D0-B25D-CF2DC9B58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102054</xdr:colOff>
      <xdr:row>19</xdr:row>
      <xdr:rowOff>156482</xdr:rowOff>
    </xdr:from>
    <xdr:to>
      <xdr:col>12</xdr:col>
      <xdr:colOff>435429</xdr:colOff>
      <xdr:row>32</xdr:row>
      <xdr:rowOff>40821</xdr:rowOff>
    </xdr:to>
    <xdr:graphicFrame macro="">
      <xdr:nvGraphicFramePr>
        <xdr:cNvPr id="20" name="Chart 19">
          <a:extLst>
            <a:ext uri="{FF2B5EF4-FFF2-40B4-BE49-F238E27FC236}">
              <a16:creationId xmlns:a16="http://schemas.microsoft.com/office/drawing/2014/main" id="{9BF66552-1559-4327-8DE3-C88EDC993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523876</xdr:colOff>
      <xdr:row>4</xdr:row>
      <xdr:rowOff>54429</xdr:rowOff>
    </xdr:from>
    <xdr:to>
      <xdr:col>14</xdr:col>
      <xdr:colOff>707572</xdr:colOff>
      <xdr:row>31</xdr:row>
      <xdr:rowOff>163286</xdr:rowOff>
    </xdr:to>
    <mc:AlternateContent xmlns:mc="http://schemas.openxmlformats.org/markup-compatibility/2006" xmlns:a14="http://schemas.microsoft.com/office/drawing/2010/main">
      <mc:Choice Requires="a14">
        <xdr:graphicFrame macro="">
          <xdr:nvGraphicFramePr>
            <xdr:cNvPr id="21" name="state_name 3">
              <a:extLst>
                <a:ext uri="{FF2B5EF4-FFF2-40B4-BE49-F238E27FC236}">
                  <a16:creationId xmlns:a16="http://schemas.microsoft.com/office/drawing/2014/main" id="{55664F94-414B-4E5D-A8CD-C5F0DD9B724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_name 3"/>
            </a:graphicData>
          </a:graphic>
        </xdr:graphicFrame>
      </mc:Choice>
      <mc:Fallback xmlns="">
        <xdr:sp macro="" textlink="">
          <xdr:nvSpPr>
            <xdr:cNvPr id="0" name=""/>
            <xdr:cNvSpPr>
              <a:spLocks noTextEdit="1"/>
            </xdr:cNvSpPr>
          </xdr:nvSpPr>
          <xdr:spPr>
            <a:xfrm>
              <a:off x="10565947" y="816429"/>
              <a:ext cx="1857375" cy="525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761999</xdr:colOff>
      <xdr:row>0</xdr:row>
      <xdr:rowOff>48861</xdr:rowOff>
    </xdr:from>
    <xdr:to>
      <xdr:col>1</xdr:col>
      <xdr:colOff>741588</xdr:colOff>
      <xdr:row>4</xdr:row>
      <xdr:rowOff>143087</xdr:rowOff>
    </xdr:to>
    <xdr:pic>
      <xdr:nvPicPr>
        <xdr:cNvPr id="23" name="Graphic 22" descr="Bank with solid fill">
          <a:extLst>
            <a:ext uri="{FF2B5EF4-FFF2-40B4-BE49-F238E27FC236}">
              <a16:creationId xmlns:a16="http://schemas.microsoft.com/office/drawing/2014/main" id="{7F3C7EFA-E181-442D-A809-E343F85AC10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61999" y="48861"/>
          <a:ext cx="816429" cy="856226"/>
        </a:xfrm>
        <a:prstGeom prst="rect">
          <a:avLst/>
        </a:prstGeom>
      </xdr:spPr>
    </xdr:pic>
    <xdr:clientData/>
  </xdr:twoCellAnchor>
  <xdr:twoCellAnchor editAs="oneCell">
    <xdr:from>
      <xdr:col>0</xdr:col>
      <xdr:colOff>748529</xdr:colOff>
      <xdr:row>16</xdr:row>
      <xdr:rowOff>3129</xdr:rowOff>
    </xdr:from>
    <xdr:to>
      <xdr:col>1</xdr:col>
      <xdr:colOff>692445</xdr:colOff>
      <xdr:row>20</xdr:row>
      <xdr:rowOff>29520</xdr:rowOff>
    </xdr:to>
    <xdr:pic>
      <xdr:nvPicPr>
        <xdr:cNvPr id="24" name="Graphic 34" descr="Checklist with solid fill">
          <a:extLst>
            <a:ext uri="{FF2B5EF4-FFF2-40B4-BE49-F238E27FC236}">
              <a16:creationId xmlns:a16="http://schemas.microsoft.com/office/drawing/2014/main" id="{5B02EC9F-9A12-465B-A20D-1C6C4BD8B71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48529" y="3031591"/>
          <a:ext cx="780407" cy="783506"/>
        </a:xfrm>
        <a:prstGeom prst="rect">
          <a:avLst/>
        </a:prstGeom>
      </xdr:spPr>
    </xdr:pic>
    <xdr:clientData/>
  </xdr:twoCellAnchor>
  <xdr:twoCellAnchor editAs="oneCell">
    <xdr:from>
      <xdr:col>0</xdr:col>
      <xdr:colOff>780339</xdr:colOff>
      <xdr:row>22</xdr:row>
      <xdr:rowOff>131166</xdr:rowOff>
    </xdr:from>
    <xdr:to>
      <xdr:col>1</xdr:col>
      <xdr:colOff>585106</xdr:colOff>
      <xdr:row>26</xdr:row>
      <xdr:rowOff>43981</xdr:rowOff>
    </xdr:to>
    <xdr:pic>
      <xdr:nvPicPr>
        <xdr:cNvPr id="26" name="Graphic 25" descr="Briefcase with solid fill">
          <a:extLst>
            <a:ext uri="{FF2B5EF4-FFF2-40B4-BE49-F238E27FC236}">
              <a16:creationId xmlns:a16="http://schemas.microsoft.com/office/drawing/2014/main" id="{7904D14C-9325-4600-B8EA-BF2A07EAAD5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80339" y="4322166"/>
          <a:ext cx="641607" cy="674815"/>
        </a:xfrm>
        <a:prstGeom prst="rect">
          <a:avLst/>
        </a:prstGeom>
      </xdr:spPr>
    </xdr:pic>
    <xdr:clientData/>
  </xdr:twoCellAnchor>
  <xdr:twoCellAnchor editAs="oneCell">
    <xdr:from>
      <xdr:col>0</xdr:col>
      <xdr:colOff>666751</xdr:colOff>
      <xdr:row>27</xdr:row>
      <xdr:rowOff>89094</xdr:rowOff>
    </xdr:from>
    <xdr:to>
      <xdr:col>1</xdr:col>
      <xdr:colOff>714375</xdr:colOff>
      <xdr:row>32</xdr:row>
      <xdr:rowOff>8586</xdr:rowOff>
    </xdr:to>
    <xdr:pic>
      <xdr:nvPicPr>
        <xdr:cNvPr id="27" name="Picture 26">
          <a:extLst>
            <a:ext uri="{FF2B5EF4-FFF2-40B4-BE49-F238E27FC236}">
              <a16:creationId xmlns:a16="http://schemas.microsoft.com/office/drawing/2014/main" id="{F561F9C0-9E0A-4D76-92AB-B1B0DEF0C49F}"/>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66751" y="5232594"/>
          <a:ext cx="884464" cy="871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37857</xdr:colOff>
      <xdr:row>10</xdr:row>
      <xdr:rowOff>109571</xdr:rowOff>
    </xdr:from>
    <xdr:to>
      <xdr:col>1</xdr:col>
      <xdr:colOff>621078</xdr:colOff>
      <xdr:row>13</xdr:row>
      <xdr:rowOff>136707</xdr:rowOff>
    </xdr:to>
    <xdr:pic>
      <xdr:nvPicPr>
        <xdr:cNvPr id="28" name="Graphic 36" descr="Social network with solid fill">
          <a:extLst>
            <a:ext uri="{FF2B5EF4-FFF2-40B4-BE49-F238E27FC236}">
              <a16:creationId xmlns:a16="http://schemas.microsoft.com/office/drawing/2014/main" id="{101FEB51-EA70-4C5C-8952-9FDA221A697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74348" y="2002359"/>
          <a:ext cx="583221" cy="594974"/>
        </a:xfrm>
        <a:prstGeom prst="rect">
          <a:avLst/>
        </a:prstGeom>
      </xdr:spPr>
    </xdr:pic>
    <xdr:clientData/>
  </xdr:twoCellAnchor>
  <xdr:twoCellAnchor editAs="oneCell">
    <xdr:from>
      <xdr:col>0</xdr:col>
      <xdr:colOff>801077</xdr:colOff>
      <xdr:row>5</xdr:row>
      <xdr:rowOff>136435</xdr:rowOff>
    </xdr:from>
    <xdr:to>
      <xdr:col>1</xdr:col>
      <xdr:colOff>703695</xdr:colOff>
      <xdr:row>9</xdr:row>
      <xdr:rowOff>85484</xdr:rowOff>
    </xdr:to>
    <xdr:pic>
      <xdr:nvPicPr>
        <xdr:cNvPr id="2" name="Graphic 32" descr="Business Growth with solid fill">
          <a:extLst>
            <a:ext uri="{FF2B5EF4-FFF2-40B4-BE49-F238E27FC236}">
              <a16:creationId xmlns:a16="http://schemas.microsoft.com/office/drawing/2014/main" id="{158CF201-B72B-4942-81E4-3A84B36F6B9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01077" y="1082830"/>
          <a:ext cx="739109" cy="706164"/>
        </a:xfrm>
        <a:prstGeom prst="rect">
          <a:avLst/>
        </a:prstGeom>
      </xdr:spPr>
    </xdr:pic>
    <xdr:clientData/>
  </xdr:twoCellAnchor>
  <xdr:twoCellAnchor editAs="oneCell">
    <xdr:from>
      <xdr:col>2</xdr:col>
      <xdr:colOff>208390</xdr:colOff>
      <xdr:row>0</xdr:row>
      <xdr:rowOff>160860</xdr:rowOff>
    </xdr:from>
    <xdr:to>
      <xdr:col>3</xdr:col>
      <xdr:colOff>544989</xdr:colOff>
      <xdr:row>3</xdr:row>
      <xdr:rowOff>87923</xdr:rowOff>
    </xdr:to>
    <xdr:pic>
      <xdr:nvPicPr>
        <xdr:cNvPr id="9" name="Picture 8">
          <a:extLst>
            <a:ext uri="{FF2B5EF4-FFF2-40B4-BE49-F238E27FC236}">
              <a16:creationId xmlns:a16="http://schemas.microsoft.com/office/drawing/2014/main" id="{D40FB977-7774-4FD5-9D99-02E4E5BF670B}"/>
            </a:ext>
          </a:extLst>
        </xdr:cNvPr>
        <xdr:cNvPicPr>
          <a:picLocks noChangeAspect="1" noChangeArrowheads="1"/>
        </xdr:cNvPicPr>
      </xdr:nvPicPr>
      <xdr:blipFill>
        <a:blip xmlns:r="http://schemas.openxmlformats.org/officeDocument/2006/relationships" r:embed="rId15" cstate="print">
          <a:duotone>
            <a:prstClr val="black"/>
            <a:schemeClr val="tx1">
              <a:tint val="45000"/>
              <a:satMod val="400000"/>
            </a:schemeClr>
          </a:duotone>
          <a:extLst>
            <a:ext uri="{28A0092B-C50C-407E-A947-70E740481C1C}">
              <a14:useLocalDpi xmlns:a14="http://schemas.microsoft.com/office/drawing/2010/main" val="0"/>
            </a:ext>
          </a:extLst>
        </a:blip>
        <a:srcRect/>
        <a:stretch>
          <a:fillRect/>
        </a:stretch>
      </xdr:blipFill>
      <xdr:spPr bwMode="auto">
        <a:xfrm>
          <a:off x="1886255" y="160860"/>
          <a:ext cx="1175532" cy="49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100012</xdr:colOff>
      <xdr:row>42</xdr:row>
      <xdr:rowOff>38099</xdr:rowOff>
    </xdr:from>
    <xdr:to>
      <xdr:col>10</xdr:col>
      <xdr:colOff>828675</xdr:colOff>
      <xdr:row>47</xdr:row>
      <xdr:rowOff>214312</xdr:rowOff>
    </xdr:to>
    <xdr:graphicFrame macro="">
      <xdr:nvGraphicFramePr>
        <xdr:cNvPr id="2" name="Chart 1">
          <a:extLst>
            <a:ext uri="{FF2B5EF4-FFF2-40B4-BE49-F238E27FC236}">
              <a16:creationId xmlns:a16="http://schemas.microsoft.com/office/drawing/2014/main" id="{CA0A40F6-BAFF-D5D2-6EBD-4B01F9588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28574</xdr:colOff>
      <xdr:row>42</xdr:row>
      <xdr:rowOff>23813</xdr:rowOff>
    </xdr:from>
    <xdr:to>
      <xdr:col>14</xdr:col>
      <xdr:colOff>447674</xdr:colOff>
      <xdr:row>48</xdr:row>
      <xdr:rowOff>38100</xdr:rowOff>
    </xdr:to>
    <xdr:graphicFrame macro="">
      <xdr:nvGraphicFramePr>
        <xdr:cNvPr id="5" name="Chart 4">
          <a:extLst>
            <a:ext uri="{FF2B5EF4-FFF2-40B4-BE49-F238E27FC236}">
              <a16:creationId xmlns:a16="http://schemas.microsoft.com/office/drawing/2014/main" id="{5AC09EA0-5FBB-CE81-D43E-DC54BCDAF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1533668</xdr:colOff>
      <xdr:row>39</xdr:row>
      <xdr:rowOff>82982</xdr:rowOff>
    </xdr:from>
    <xdr:to>
      <xdr:col>5</xdr:col>
      <xdr:colOff>473588</xdr:colOff>
      <xdr:row>50</xdr:row>
      <xdr:rowOff>3607</xdr:rowOff>
    </xdr:to>
    <mc:AlternateContent xmlns:mc="http://schemas.openxmlformats.org/markup-compatibility/2006">
      <mc:Choice xmlns:a14="http://schemas.microsoft.com/office/drawing/2010/main" Requires="a14">
        <xdr:graphicFrame macro="">
          <xdr:nvGraphicFramePr>
            <xdr:cNvPr id="18" name="state_name 4">
              <a:extLst>
                <a:ext uri="{FF2B5EF4-FFF2-40B4-BE49-F238E27FC236}">
                  <a16:creationId xmlns:a16="http://schemas.microsoft.com/office/drawing/2014/main" id="{75E0EF3F-B68C-A311-639B-53CFA2DECAFD}"/>
                </a:ext>
              </a:extLst>
            </xdr:cNvPr>
            <xdr:cNvGraphicFramePr/>
          </xdr:nvGraphicFramePr>
          <xdr:xfrm>
            <a:off x="0" y="0"/>
            <a:ext cx="0" cy="0"/>
          </xdr:xfrm>
          <a:graphic>
            <a:graphicData uri="http://schemas.microsoft.com/office/drawing/2010/slicer">
              <sle:slicer xmlns:sle="http://schemas.microsoft.com/office/drawing/2010/slicer" name="state_name 4"/>
            </a:graphicData>
          </a:graphic>
        </xdr:graphicFrame>
      </mc:Choice>
      <mc:Fallback>
        <xdr:sp macro="" textlink="">
          <xdr:nvSpPr>
            <xdr:cNvPr id="0" name=""/>
            <xdr:cNvSpPr>
              <a:spLocks noTextEdit="1"/>
            </xdr:cNvSpPr>
          </xdr:nvSpPr>
          <xdr:spPr>
            <a:xfrm>
              <a:off x="10759628" y="11601587"/>
              <a:ext cx="1830646" cy="3088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1091043</xdr:colOff>
      <xdr:row>50</xdr:row>
      <xdr:rowOff>244764</xdr:rowOff>
    </xdr:from>
    <xdr:to>
      <xdr:col>6</xdr:col>
      <xdr:colOff>857248</xdr:colOff>
      <xdr:row>60</xdr:row>
      <xdr:rowOff>101601</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B7F1A0C-00B6-3759-88F7-4C36DE487D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37919" y="16134196"/>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1795352</xdr:colOff>
      <xdr:row>54</xdr:row>
      <xdr:rowOff>51612</xdr:rowOff>
    </xdr:from>
    <xdr:to>
      <xdr:col>3</xdr:col>
      <xdr:colOff>1460868</xdr:colOff>
      <xdr:row>63</xdr:row>
      <xdr:rowOff>203126</xdr:rowOff>
    </xdr:to>
    <xdr:graphicFrame macro="">
      <xdr:nvGraphicFramePr>
        <xdr:cNvPr id="21" name="Chart 20">
          <a:extLst>
            <a:ext uri="{FF2B5EF4-FFF2-40B4-BE49-F238E27FC236}">
              <a16:creationId xmlns:a16="http://schemas.microsoft.com/office/drawing/2014/main" id="{5B09EEFD-8334-A336-F00C-8C873BF19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122937</xdr:colOff>
      <xdr:row>9</xdr:row>
      <xdr:rowOff>217746</xdr:rowOff>
    </xdr:from>
    <xdr:to>
      <xdr:col>11</xdr:col>
      <xdr:colOff>220402</xdr:colOff>
      <xdr:row>19</xdr:row>
      <xdr:rowOff>81295</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B75B6679-C04A-83BE-A17D-573FD653D3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46425" y="309739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228600</xdr:colOff>
      <xdr:row>0</xdr:row>
      <xdr:rowOff>109537</xdr:rowOff>
    </xdr:from>
    <xdr:to>
      <xdr:col>1</xdr:col>
      <xdr:colOff>419100</xdr:colOff>
      <xdr:row>22</xdr:row>
      <xdr:rowOff>90487</xdr:rowOff>
    </xdr:to>
    <xdr:sp macro="" textlink="">
      <xdr:nvSpPr>
        <xdr:cNvPr id="2" name="Rectangle: Rounded Corners 1">
          <a:extLst>
            <a:ext uri="{FF2B5EF4-FFF2-40B4-BE49-F238E27FC236}">
              <a16:creationId xmlns:a16="http://schemas.microsoft.com/office/drawing/2014/main" id="{FBF6FC00-9FE4-4A07-84BE-67BA8739E719}"/>
            </a:ext>
          </a:extLst>
        </xdr:cNvPr>
        <xdr:cNvSpPr/>
      </xdr:nvSpPr>
      <xdr:spPr>
        <a:xfrm>
          <a:off x="228600" y="109537"/>
          <a:ext cx="1028700" cy="6372225"/>
        </a:xfrm>
        <a:prstGeom prst="roundRect">
          <a:avLst>
            <a:gd name="adj" fmla="val 7884"/>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538163</xdr:colOff>
      <xdr:row>0</xdr:row>
      <xdr:rowOff>109538</xdr:rowOff>
    </xdr:from>
    <xdr:to>
      <xdr:col>14</xdr:col>
      <xdr:colOff>784807</xdr:colOff>
      <xdr:row>2</xdr:row>
      <xdr:rowOff>200829</xdr:rowOff>
    </xdr:to>
    <xdr:sp macro="" textlink="">
      <xdr:nvSpPr>
        <xdr:cNvPr id="15" name="Rectangle: Rounded Corners 14">
          <a:extLst>
            <a:ext uri="{FF2B5EF4-FFF2-40B4-BE49-F238E27FC236}">
              <a16:creationId xmlns:a16="http://schemas.microsoft.com/office/drawing/2014/main" id="{5B5B5382-CD2E-4656-BEEB-499105165846}"/>
            </a:ext>
          </a:extLst>
        </xdr:cNvPr>
        <xdr:cNvSpPr/>
      </xdr:nvSpPr>
      <xdr:spPr>
        <a:xfrm>
          <a:off x="1376632" y="109538"/>
          <a:ext cx="11146731" cy="668157"/>
        </a:xfrm>
        <a:prstGeom prst="roundRect">
          <a:avLst>
            <a:gd name="adj" fmla="val 2415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2400" b="1">
              <a:solidFill>
                <a:srgbClr val="7030A0"/>
              </a:solidFill>
              <a:latin typeface="Arial" panose="020B0604020202020204" pitchFamily="34" charset="0"/>
              <a:ea typeface="Verdana" panose="020B0604030504040204" pitchFamily="34" charset="0"/>
              <a:cs typeface="Arial" panose="020B0604020202020204" pitchFamily="34" charset="0"/>
            </a:rPr>
            <a:t>                MGNREGA - INCLUSIVITY: STATEWISE ANALYSIS   </a:t>
          </a:r>
        </a:p>
      </xdr:txBody>
    </xdr:sp>
    <xdr:clientData/>
  </xdr:twoCellAnchor>
  <xdr:twoCellAnchor editAs="oneCell">
    <xdr:from>
      <xdr:col>1</xdr:col>
      <xdr:colOff>676275</xdr:colOff>
      <xdr:row>0</xdr:row>
      <xdr:rowOff>157163</xdr:rowOff>
    </xdr:from>
    <xdr:to>
      <xdr:col>3</xdr:col>
      <xdr:colOff>176406</xdr:colOff>
      <xdr:row>2</xdr:row>
      <xdr:rowOff>74701</xdr:rowOff>
    </xdr:to>
    <xdr:pic>
      <xdr:nvPicPr>
        <xdr:cNvPr id="16" name="Picture 15">
          <a:extLst>
            <a:ext uri="{FF2B5EF4-FFF2-40B4-BE49-F238E27FC236}">
              <a16:creationId xmlns:a16="http://schemas.microsoft.com/office/drawing/2014/main" id="{AF70947A-60C6-4FF9-AFD4-C4861F3FE213}"/>
            </a:ext>
          </a:extLst>
        </xdr:cNvPr>
        <xdr:cNvPicPr>
          <a:picLocks noChangeAspect="1" noChangeArrowheads="1"/>
        </xdr:cNvPicPr>
      </xdr:nvPicPr>
      <xdr:blipFill>
        <a:blip xmlns:r="http://schemas.openxmlformats.org/officeDocument/2006/relationships" r:embed="rId1" cstate="print">
          <a:duotone>
            <a:prstClr val="black"/>
            <a:schemeClr val="tx1">
              <a:tint val="45000"/>
              <a:satMod val="400000"/>
            </a:schemeClr>
          </a:duotone>
          <a:extLst>
            <a:ext uri="{28A0092B-C50C-407E-A947-70E740481C1C}">
              <a14:useLocalDpi xmlns:a14="http://schemas.microsoft.com/office/drawing/2010/main" val="0"/>
            </a:ext>
          </a:extLst>
        </a:blip>
        <a:srcRect/>
        <a:stretch>
          <a:fillRect/>
        </a:stretch>
      </xdr:blipFill>
      <xdr:spPr bwMode="auto">
        <a:xfrm>
          <a:off x="1514475" y="157163"/>
          <a:ext cx="1176531" cy="49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323848</xdr:colOff>
      <xdr:row>0</xdr:row>
      <xdr:rowOff>109538</xdr:rowOff>
    </xdr:from>
    <xdr:to>
      <xdr:col>1</xdr:col>
      <xdr:colOff>305678</xdr:colOff>
      <xdr:row>3</xdr:row>
      <xdr:rowOff>94226</xdr:rowOff>
    </xdr:to>
    <xdr:pic>
      <xdr:nvPicPr>
        <xdr:cNvPr id="17" name="Graphic 16" descr="Bank with solid fill">
          <a:extLst>
            <a:ext uri="{FF2B5EF4-FFF2-40B4-BE49-F238E27FC236}">
              <a16:creationId xmlns:a16="http://schemas.microsoft.com/office/drawing/2014/main" id="{BF4729E5-76D1-4B1C-9FC8-57ECD0322CB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3848" y="109538"/>
          <a:ext cx="820030" cy="856226"/>
        </a:xfrm>
        <a:prstGeom prst="rect">
          <a:avLst/>
        </a:prstGeom>
      </xdr:spPr>
    </xdr:pic>
    <xdr:clientData/>
  </xdr:twoCellAnchor>
  <xdr:twoCellAnchor editAs="oneCell">
    <xdr:from>
      <xdr:col>0</xdr:col>
      <xdr:colOff>310378</xdr:colOff>
      <xdr:row>10</xdr:row>
      <xdr:rowOff>206681</xdr:rowOff>
    </xdr:from>
    <xdr:to>
      <xdr:col>1</xdr:col>
      <xdr:colOff>256535</xdr:colOff>
      <xdr:row>13</xdr:row>
      <xdr:rowOff>123534</xdr:rowOff>
    </xdr:to>
    <xdr:pic>
      <xdr:nvPicPr>
        <xdr:cNvPr id="18" name="Graphic 34" descr="Checklist with solid fill">
          <a:extLst>
            <a:ext uri="{FF2B5EF4-FFF2-40B4-BE49-F238E27FC236}">
              <a16:creationId xmlns:a16="http://schemas.microsoft.com/office/drawing/2014/main" id="{390A9D9E-68BC-408C-BB29-3291AEEA856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0378" y="3111806"/>
          <a:ext cx="784357" cy="788391"/>
        </a:xfrm>
        <a:prstGeom prst="rect">
          <a:avLst/>
        </a:prstGeom>
      </xdr:spPr>
    </xdr:pic>
    <xdr:clientData/>
  </xdr:twoCellAnchor>
  <xdr:twoCellAnchor editAs="oneCell">
    <xdr:from>
      <xdr:col>0</xdr:col>
      <xdr:colOff>342188</xdr:colOff>
      <xdr:row>15</xdr:row>
      <xdr:rowOff>25155</xdr:rowOff>
    </xdr:from>
    <xdr:to>
      <xdr:col>1</xdr:col>
      <xdr:colOff>149196</xdr:colOff>
      <xdr:row>17</xdr:row>
      <xdr:rowOff>118945</xdr:rowOff>
    </xdr:to>
    <xdr:pic>
      <xdr:nvPicPr>
        <xdr:cNvPr id="19" name="Graphic 18" descr="Briefcase with solid fill">
          <a:extLst>
            <a:ext uri="{FF2B5EF4-FFF2-40B4-BE49-F238E27FC236}">
              <a16:creationId xmlns:a16="http://schemas.microsoft.com/office/drawing/2014/main" id="{34AF8B53-D132-402F-A8E4-7049B68DC1F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2188" y="4382843"/>
          <a:ext cx="645208" cy="674815"/>
        </a:xfrm>
        <a:prstGeom prst="rect">
          <a:avLst/>
        </a:prstGeom>
      </xdr:spPr>
    </xdr:pic>
    <xdr:clientData/>
  </xdr:twoCellAnchor>
  <xdr:twoCellAnchor editAs="oneCell">
    <xdr:from>
      <xdr:col>0</xdr:col>
      <xdr:colOff>295275</xdr:colOff>
      <xdr:row>18</xdr:row>
      <xdr:rowOff>154534</xdr:rowOff>
    </xdr:from>
    <xdr:to>
      <xdr:col>1</xdr:col>
      <xdr:colOff>345140</xdr:colOff>
      <xdr:row>21</xdr:row>
      <xdr:rowOff>154988</xdr:rowOff>
    </xdr:to>
    <xdr:pic>
      <xdr:nvPicPr>
        <xdr:cNvPr id="20" name="Picture 19">
          <a:extLst>
            <a:ext uri="{FF2B5EF4-FFF2-40B4-BE49-F238E27FC236}">
              <a16:creationId xmlns:a16="http://schemas.microsoft.com/office/drawing/2014/main" id="{2707A68A-D76D-4288-AE99-EB83906E7B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95275" y="5383759"/>
          <a:ext cx="888065" cy="871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440147</xdr:colOff>
      <xdr:row>7</xdr:row>
      <xdr:rowOff>41660</xdr:rowOff>
    </xdr:from>
    <xdr:to>
      <xdr:col>1</xdr:col>
      <xdr:colOff>185168</xdr:colOff>
      <xdr:row>9</xdr:row>
      <xdr:rowOff>59271</xdr:rowOff>
    </xdr:to>
    <xdr:pic>
      <xdr:nvPicPr>
        <xdr:cNvPr id="21" name="Graphic 36" descr="Social network with solid fill">
          <a:extLst>
            <a:ext uri="{FF2B5EF4-FFF2-40B4-BE49-F238E27FC236}">
              <a16:creationId xmlns:a16="http://schemas.microsoft.com/office/drawing/2014/main" id="{998D5ED4-C29E-40A3-BF70-0BA6C4F252A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40147" y="2075248"/>
          <a:ext cx="583221" cy="598636"/>
        </a:xfrm>
        <a:prstGeom prst="rect">
          <a:avLst/>
        </a:prstGeom>
      </xdr:spPr>
    </xdr:pic>
    <xdr:clientData/>
  </xdr:twoCellAnchor>
  <xdr:twoCellAnchor editAs="oneCell">
    <xdr:from>
      <xdr:col>0</xdr:col>
      <xdr:colOff>362926</xdr:colOff>
      <xdr:row>3</xdr:row>
      <xdr:rowOff>278074</xdr:rowOff>
    </xdr:from>
    <xdr:to>
      <xdr:col>1</xdr:col>
      <xdr:colOff>267785</xdr:colOff>
      <xdr:row>6</xdr:row>
      <xdr:rowOff>117586</xdr:rowOff>
    </xdr:to>
    <xdr:pic>
      <xdr:nvPicPr>
        <xdr:cNvPr id="22" name="Graphic 32" descr="Business Growth with solid fill">
          <a:extLst>
            <a:ext uri="{FF2B5EF4-FFF2-40B4-BE49-F238E27FC236}">
              <a16:creationId xmlns:a16="http://schemas.microsoft.com/office/drawing/2014/main" id="{4CFFA3D8-284F-4CC5-976A-5E3AF2A27C9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62926" y="1149612"/>
          <a:ext cx="743059" cy="711049"/>
        </a:xfrm>
        <a:prstGeom prst="rect">
          <a:avLst/>
        </a:prstGeom>
      </xdr:spPr>
    </xdr:pic>
    <xdr:clientData/>
  </xdr:twoCellAnchor>
  <xdr:twoCellAnchor>
    <xdr:from>
      <xdr:col>1</xdr:col>
      <xdr:colOff>523874</xdr:colOff>
      <xdr:row>3</xdr:row>
      <xdr:rowOff>0</xdr:rowOff>
    </xdr:from>
    <xdr:to>
      <xdr:col>4</xdr:col>
      <xdr:colOff>781768</xdr:colOff>
      <xdr:row>7</xdr:row>
      <xdr:rowOff>23812</xdr:rowOff>
    </xdr:to>
    <xdr:sp macro="" textlink="">
      <xdr:nvSpPr>
        <xdr:cNvPr id="23" name="Rectangle: Rounded Corners 22">
          <a:extLst>
            <a:ext uri="{FF2B5EF4-FFF2-40B4-BE49-F238E27FC236}">
              <a16:creationId xmlns:a16="http://schemas.microsoft.com/office/drawing/2014/main" id="{B5A5C781-B4B5-4E47-8046-7BB9D7A8676D}"/>
            </a:ext>
          </a:extLst>
        </xdr:cNvPr>
        <xdr:cNvSpPr/>
      </xdr:nvSpPr>
      <xdr:spPr>
        <a:xfrm>
          <a:off x="1364315" y="868457"/>
          <a:ext cx="2779218" cy="1181753"/>
        </a:xfrm>
        <a:prstGeom prst="roundRect">
          <a:avLst>
            <a:gd name="adj" fmla="val 1271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5</xdr:col>
      <xdr:colOff>76375</xdr:colOff>
      <xdr:row>2</xdr:row>
      <xdr:rowOff>277557</xdr:rowOff>
    </xdr:from>
    <xdr:to>
      <xdr:col>9</xdr:col>
      <xdr:colOff>727852</xdr:colOff>
      <xdr:row>7</xdr:row>
      <xdr:rowOff>18584</xdr:rowOff>
    </xdr:to>
    <xdr:sp macro="" textlink="">
      <xdr:nvSpPr>
        <xdr:cNvPr id="24" name="Rectangle: Rounded Corners 23">
          <a:extLst>
            <a:ext uri="{FF2B5EF4-FFF2-40B4-BE49-F238E27FC236}">
              <a16:creationId xmlns:a16="http://schemas.microsoft.com/office/drawing/2014/main" id="{77600CBD-4F3B-4D24-86D6-97FD1F840304}"/>
            </a:ext>
          </a:extLst>
        </xdr:cNvPr>
        <xdr:cNvSpPr/>
      </xdr:nvSpPr>
      <xdr:spPr>
        <a:xfrm>
          <a:off x="4278581" y="856528"/>
          <a:ext cx="4013242" cy="1188454"/>
        </a:xfrm>
        <a:prstGeom prst="roundRect">
          <a:avLst>
            <a:gd name="adj" fmla="val 1352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baseline="0">
              <a:solidFill>
                <a:srgbClr val="7030A0"/>
              </a:solidFill>
              <a:latin typeface="Arial" panose="020B0604020202020204" pitchFamily="34" charset="0"/>
              <a:cs typeface="Arial" panose="020B0604020202020204" pitchFamily="34" charset="0"/>
            </a:rPr>
            <a:t>SC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5</xdr:col>
      <xdr:colOff>19404</xdr:colOff>
      <xdr:row>7</xdr:row>
      <xdr:rowOff>123476</xdr:rowOff>
    </xdr:from>
    <xdr:to>
      <xdr:col>9</xdr:col>
      <xdr:colOff>570158</xdr:colOff>
      <xdr:row>22</xdr:row>
      <xdr:rowOff>160986</xdr:rowOff>
    </xdr:to>
    <xdr:sp macro="" textlink="">
      <xdr:nvSpPr>
        <xdr:cNvPr id="34" name="Rectangle: Rounded Corners 33">
          <a:extLst>
            <a:ext uri="{FF2B5EF4-FFF2-40B4-BE49-F238E27FC236}">
              <a16:creationId xmlns:a16="http://schemas.microsoft.com/office/drawing/2014/main" id="{11F68310-C266-4E91-B7FB-3185781D560D}"/>
            </a:ext>
          </a:extLst>
        </xdr:cNvPr>
        <xdr:cNvSpPr/>
      </xdr:nvSpPr>
      <xdr:spPr>
        <a:xfrm>
          <a:off x="4211746" y="2142508"/>
          <a:ext cx="3904627" cy="4364006"/>
        </a:xfrm>
        <a:prstGeom prst="roundRect">
          <a:avLst>
            <a:gd name="adj" fmla="val 977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Ratio of Total Persondays to SC, ST &amp; Women:</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10</xdr:col>
      <xdr:colOff>35944</xdr:colOff>
      <xdr:row>3</xdr:row>
      <xdr:rowOff>0</xdr:rowOff>
    </xdr:from>
    <xdr:to>
      <xdr:col>14</xdr:col>
      <xdr:colOff>784807</xdr:colOff>
      <xdr:row>7</xdr:row>
      <xdr:rowOff>28575</xdr:rowOff>
    </xdr:to>
    <xdr:sp macro="" textlink="">
      <xdr:nvSpPr>
        <xdr:cNvPr id="36" name="Rectangle: Rounded Corners 35">
          <a:extLst>
            <a:ext uri="{FF2B5EF4-FFF2-40B4-BE49-F238E27FC236}">
              <a16:creationId xmlns:a16="http://schemas.microsoft.com/office/drawing/2014/main" id="{DE9FDC14-F456-4ADF-846F-2FCF1370B2B4}"/>
            </a:ext>
          </a:extLst>
        </xdr:cNvPr>
        <xdr:cNvSpPr/>
      </xdr:nvSpPr>
      <xdr:spPr>
        <a:xfrm>
          <a:off x="8420627" y="865300"/>
          <a:ext cx="4102736" cy="1182307"/>
        </a:xfrm>
        <a:prstGeom prst="roundRect">
          <a:avLst>
            <a:gd name="adj" fmla="val 5649"/>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baseline="0">
              <a:solidFill>
                <a:srgbClr val="7030A0"/>
              </a:solidFill>
              <a:latin typeface="Arial" panose="020B0604020202020204" pitchFamily="34" charset="0"/>
              <a:cs typeface="Arial" panose="020B0604020202020204" pitchFamily="34" charset="0"/>
            </a:rPr>
            <a:t>ST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xdr:col>
      <xdr:colOff>520122</xdr:colOff>
      <xdr:row>7</xdr:row>
      <xdr:rowOff>125803</xdr:rowOff>
    </xdr:from>
    <xdr:to>
      <xdr:col>4</xdr:col>
      <xdr:colOff>778016</xdr:colOff>
      <xdr:row>11</xdr:row>
      <xdr:rowOff>149614</xdr:rowOff>
    </xdr:to>
    <xdr:sp macro="" textlink="">
      <xdr:nvSpPr>
        <xdr:cNvPr id="37" name="Rectangle: Rounded Corners 36">
          <a:extLst>
            <a:ext uri="{FF2B5EF4-FFF2-40B4-BE49-F238E27FC236}">
              <a16:creationId xmlns:a16="http://schemas.microsoft.com/office/drawing/2014/main" id="{E6FAB53E-0BF9-40E5-8445-9BCD3678674C}"/>
            </a:ext>
          </a:extLst>
        </xdr:cNvPr>
        <xdr:cNvSpPr/>
      </xdr:nvSpPr>
      <xdr:spPr>
        <a:xfrm>
          <a:off x="1360563" y="2152201"/>
          <a:ext cx="2779218" cy="1181752"/>
        </a:xfrm>
        <a:prstGeom prst="roundRect">
          <a:avLst>
            <a:gd name="adj" fmla="val 7975"/>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IN" sz="1800" b="1">
              <a:solidFill>
                <a:srgbClr val="7030A0"/>
              </a:solidFill>
              <a:effectLst/>
              <a:latin typeface="Arial" panose="020B0604020202020204" pitchFamily="34" charset="0"/>
              <a:ea typeface="+mn-ea"/>
              <a:cs typeface="Arial" panose="020B0604020202020204" pitchFamily="34" charset="0"/>
            </a:rPr>
            <a:t>Persons</a:t>
          </a:r>
          <a:r>
            <a:rPr lang="en-IN" sz="1800" b="1" baseline="0">
              <a:solidFill>
                <a:srgbClr val="7030A0"/>
              </a:solidFill>
              <a:effectLst/>
              <a:latin typeface="Arial" panose="020B0604020202020204" pitchFamily="34" charset="0"/>
              <a:ea typeface="+mn-ea"/>
              <a:cs typeface="Arial" panose="020B0604020202020204" pitchFamily="34" charset="0"/>
            </a:rPr>
            <a:t> of Central liability:</a:t>
          </a:r>
          <a:endParaRPr lang="en-IN" sz="1800">
            <a:solidFill>
              <a:srgbClr val="7030A0"/>
            </a:solidFill>
            <a:effectLst/>
            <a:latin typeface="Arial" panose="020B0604020202020204" pitchFamily="34" charset="0"/>
            <a:cs typeface="Arial" panose="020B0604020202020204" pitchFamily="34" charset="0"/>
          </a:endParaRPr>
        </a:p>
      </xdr:txBody>
    </xdr:sp>
    <xdr:clientData/>
  </xdr:twoCellAnchor>
  <xdr:oneCellAnchor>
    <xdr:from>
      <xdr:col>1</xdr:col>
      <xdr:colOff>637994</xdr:colOff>
      <xdr:row>5</xdr:row>
      <xdr:rowOff>260589</xdr:rowOff>
    </xdr:from>
    <xdr:ext cx="184731" cy="264560"/>
    <xdr:sp macro="" textlink="">
      <xdr:nvSpPr>
        <xdr:cNvPr id="38" name="TextBox 37">
          <a:extLst>
            <a:ext uri="{FF2B5EF4-FFF2-40B4-BE49-F238E27FC236}">
              <a16:creationId xmlns:a16="http://schemas.microsoft.com/office/drawing/2014/main" id="{10CF85DC-1612-7EE1-F9F8-B0665E44C012}"/>
            </a:ext>
          </a:extLst>
        </xdr:cNvPr>
        <xdr:cNvSpPr txBox="1"/>
      </xdr:nvSpPr>
      <xdr:spPr>
        <a:xfrm>
          <a:off x="1473679" y="169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566108</xdr:colOff>
      <xdr:row>4</xdr:row>
      <xdr:rowOff>233632</xdr:rowOff>
    </xdr:from>
    <xdr:to>
      <xdr:col>4</xdr:col>
      <xdr:colOff>413348</xdr:colOff>
      <xdr:row>6</xdr:row>
      <xdr:rowOff>233632</xdr:rowOff>
    </xdr:to>
    <xdr:sp macro="" textlink="'Inclusivity in MGNREGA Employm'!I52">
      <xdr:nvSpPr>
        <xdr:cNvPr id="39" name="TextBox 38">
          <a:extLst>
            <a:ext uri="{FF2B5EF4-FFF2-40B4-BE49-F238E27FC236}">
              <a16:creationId xmlns:a16="http://schemas.microsoft.com/office/drawing/2014/main" id="{16FD7E59-05BD-E16F-2557-E9FCB0E7D8E0}"/>
            </a:ext>
          </a:extLst>
        </xdr:cNvPr>
        <xdr:cNvSpPr txBox="1"/>
      </xdr:nvSpPr>
      <xdr:spPr>
        <a:xfrm>
          <a:off x="1406549" y="1399044"/>
          <a:ext cx="2368564" cy="582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CE0565-0C50-4374-A98B-195B78B94D4F}" type="TxLink">
            <a:rPr lang="en-US"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rPr>
            <a:pPr marL="0" indent="0"/>
            <a:t> 7,25,07,912 </a:t>
          </a:fld>
          <a:endParaRPr lang="en-IN"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endParaRPr>
        </a:p>
      </xdr:txBody>
    </xdr:sp>
    <xdr:clientData/>
  </xdr:twoCellAnchor>
  <xdr:oneCellAnchor>
    <xdr:from>
      <xdr:col>5</xdr:col>
      <xdr:colOff>1125</xdr:colOff>
      <xdr:row>4</xdr:row>
      <xdr:rowOff>193249</xdr:rowOff>
    </xdr:from>
    <xdr:ext cx="2635020" cy="598265"/>
    <xdr:sp macro="" textlink="'Inclusivity in MGNREGA Employm'!J41">
      <xdr:nvSpPr>
        <xdr:cNvPr id="40" name="TextBox 39">
          <a:extLst>
            <a:ext uri="{FF2B5EF4-FFF2-40B4-BE49-F238E27FC236}">
              <a16:creationId xmlns:a16="http://schemas.microsoft.com/office/drawing/2014/main" id="{498EBC63-07C9-74CF-5900-10147F5460D1}"/>
            </a:ext>
          </a:extLst>
        </xdr:cNvPr>
        <xdr:cNvSpPr txBox="1"/>
      </xdr:nvSpPr>
      <xdr:spPr>
        <a:xfrm>
          <a:off x="4193467" y="1346981"/>
          <a:ext cx="2635020" cy="598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9E74971-CE4E-4969-8271-FFF5409B5AF8}" type="TxLink">
            <a:rPr lang="en-US"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rPr>
            <a:pPr marL="0" indent="0"/>
            <a:t> 1,53,18,168 </a:t>
          </a:fld>
          <a:endParaRPr lang="en-IN"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endParaRPr>
        </a:p>
      </xdr:txBody>
    </xdr:sp>
    <xdr:clientData/>
  </xdr:oneCellAnchor>
  <xdr:twoCellAnchor>
    <xdr:from>
      <xdr:col>7</xdr:col>
      <xdr:colOff>293361</xdr:colOff>
      <xdr:row>2</xdr:row>
      <xdr:rowOff>219676</xdr:rowOff>
    </xdr:from>
    <xdr:to>
      <xdr:col>10</xdr:col>
      <xdr:colOff>218515</xdr:colOff>
      <xdr:row>7</xdr:row>
      <xdr:rowOff>89647</xdr:rowOff>
    </xdr:to>
    <xdr:graphicFrame macro="">
      <xdr:nvGraphicFramePr>
        <xdr:cNvPr id="41" name="Chart 40">
          <a:extLst>
            <a:ext uri="{FF2B5EF4-FFF2-40B4-BE49-F238E27FC236}">
              <a16:creationId xmlns:a16="http://schemas.microsoft.com/office/drawing/2014/main" id="{791B0617-939C-4FA9-8A8E-92A50C888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8</xdr:col>
      <xdr:colOff>420221</xdr:colOff>
      <xdr:row>4</xdr:row>
      <xdr:rowOff>117661</xdr:rowOff>
    </xdr:from>
    <xdr:ext cx="560346" cy="361637"/>
    <xdr:sp macro="" textlink="'Inclusivity in MGNREGA Employm'!K41">
      <xdr:nvSpPr>
        <xdr:cNvPr id="42" name="TextBox 41">
          <a:extLst>
            <a:ext uri="{FF2B5EF4-FFF2-40B4-BE49-F238E27FC236}">
              <a16:creationId xmlns:a16="http://schemas.microsoft.com/office/drawing/2014/main" id="{94700D94-5628-2C83-2C1F-D724F51823FA}"/>
            </a:ext>
          </a:extLst>
        </xdr:cNvPr>
        <xdr:cNvSpPr txBox="1"/>
      </xdr:nvSpPr>
      <xdr:spPr>
        <a:xfrm>
          <a:off x="7143750" y="1283073"/>
          <a:ext cx="560346"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F886693-12F5-43A6-AB7A-AE1F1781FDC6}" type="TxLink">
            <a:rPr lang="en-US" sz="1400" b="1" i="0" u="none" strike="noStrike">
              <a:solidFill>
                <a:schemeClr val="bg1"/>
              </a:solidFill>
              <a:latin typeface="Poppins"/>
              <a:cs typeface="Poppins"/>
            </a:rPr>
            <a:t>21%</a:t>
          </a:fld>
          <a:endParaRPr lang="en-IN" sz="1200" b="1">
            <a:solidFill>
              <a:schemeClr val="bg1"/>
            </a:solidFill>
          </a:endParaRPr>
        </a:p>
      </xdr:txBody>
    </xdr:sp>
    <xdr:clientData/>
  </xdr:oneCellAnchor>
  <xdr:oneCellAnchor>
    <xdr:from>
      <xdr:col>10</xdr:col>
      <xdr:colOff>5601</xdr:colOff>
      <xdr:row>4</xdr:row>
      <xdr:rowOff>173690</xdr:rowOff>
    </xdr:from>
    <xdr:ext cx="2550052" cy="758687"/>
    <xdr:sp macro="" textlink="'Inclusivity in MGNREGA Employm'!N41">
      <xdr:nvSpPr>
        <xdr:cNvPr id="43" name="TextBox 42">
          <a:extLst>
            <a:ext uri="{FF2B5EF4-FFF2-40B4-BE49-F238E27FC236}">
              <a16:creationId xmlns:a16="http://schemas.microsoft.com/office/drawing/2014/main" id="{DF8E8597-72A4-10A4-486B-3B7F2333F6F8}"/>
            </a:ext>
          </a:extLst>
        </xdr:cNvPr>
        <xdr:cNvSpPr txBox="1"/>
      </xdr:nvSpPr>
      <xdr:spPr>
        <a:xfrm>
          <a:off x="8390284" y="1327422"/>
          <a:ext cx="2550052" cy="75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DA9F68-06E7-470D-88D5-1F03FD207F2E}" type="TxLink">
            <a:rPr lang="en-US"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rPr>
            <a:pPr marL="0" indent="0"/>
            <a:t> 1,50,00,676 </a:t>
          </a:fld>
          <a:endParaRPr lang="en-IN"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endParaRPr>
        </a:p>
      </xdr:txBody>
    </xdr:sp>
    <xdr:clientData/>
  </xdr:oneCellAnchor>
  <xdr:twoCellAnchor>
    <xdr:from>
      <xdr:col>12</xdr:col>
      <xdr:colOff>448236</xdr:colOff>
      <xdr:row>2</xdr:row>
      <xdr:rowOff>218516</xdr:rowOff>
    </xdr:from>
    <xdr:to>
      <xdr:col>14</xdr:col>
      <xdr:colOff>570159</xdr:colOff>
      <xdr:row>7</xdr:row>
      <xdr:rowOff>72839</xdr:rowOff>
    </xdr:to>
    <xdr:graphicFrame macro="">
      <xdr:nvGraphicFramePr>
        <xdr:cNvPr id="44" name="Chart 43">
          <a:extLst>
            <a:ext uri="{FF2B5EF4-FFF2-40B4-BE49-F238E27FC236}">
              <a16:creationId xmlns:a16="http://schemas.microsoft.com/office/drawing/2014/main" id="{71620AD9-36AE-48DC-959F-BEA4EFB01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13</xdr:col>
      <xdr:colOff>375398</xdr:colOff>
      <xdr:row>4</xdr:row>
      <xdr:rowOff>117662</xdr:rowOff>
    </xdr:from>
    <xdr:ext cx="522772" cy="361637"/>
    <xdr:sp macro="" textlink="'Inclusivity in MGNREGA Employm'!$O$41">
      <xdr:nvSpPr>
        <xdr:cNvPr id="45" name="TextBox 44">
          <a:extLst>
            <a:ext uri="{FF2B5EF4-FFF2-40B4-BE49-F238E27FC236}">
              <a16:creationId xmlns:a16="http://schemas.microsoft.com/office/drawing/2014/main" id="{DECD85B8-2F87-D587-F6A9-FB9566A6C3A5}"/>
            </a:ext>
          </a:extLst>
        </xdr:cNvPr>
        <xdr:cNvSpPr txBox="1"/>
      </xdr:nvSpPr>
      <xdr:spPr>
        <a:xfrm>
          <a:off x="11301133" y="1283074"/>
          <a:ext cx="522772"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41792A1-C882-4A45-9E16-803C8C107ECA}" type="TxLink">
            <a:rPr lang="en-US" sz="1400" b="1" i="0" u="none" strike="noStrike">
              <a:solidFill>
                <a:schemeClr val="bg1"/>
              </a:solidFill>
              <a:latin typeface="Poppins"/>
              <a:ea typeface="+mn-ea"/>
              <a:cs typeface="Poppins"/>
            </a:rPr>
            <a:pPr marL="0" indent="0"/>
            <a:t>21%</a:t>
          </a:fld>
          <a:endParaRPr lang="en-IN" sz="1400" b="1" i="0" u="none" strike="noStrike">
            <a:solidFill>
              <a:schemeClr val="bg1"/>
            </a:solidFill>
            <a:latin typeface="Poppins"/>
            <a:ea typeface="+mn-ea"/>
            <a:cs typeface="Poppins"/>
          </a:endParaRPr>
        </a:p>
      </xdr:txBody>
    </xdr:sp>
    <xdr:clientData/>
  </xdr:oneCellAnchor>
  <xdr:oneCellAnchor>
    <xdr:from>
      <xdr:col>2</xdr:col>
      <xdr:colOff>11206</xdr:colOff>
      <xdr:row>10</xdr:row>
      <xdr:rowOff>140074</xdr:rowOff>
    </xdr:from>
    <xdr:ext cx="184731" cy="264560"/>
    <xdr:sp macro="" textlink="">
      <xdr:nvSpPr>
        <xdr:cNvPr id="46" name="TextBox 45">
          <a:extLst>
            <a:ext uri="{FF2B5EF4-FFF2-40B4-BE49-F238E27FC236}">
              <a16:creationId xmlns:a16="http://schemas.microsoft.com/office/drawing/2014/main" id="{86FFAA45-6524-4208-0872-1B52DAB876D5}"/>
            </a:ext>
          </a:extLst>
        </xdr:cNvPr>
        <xdr:cNvSpPr txBox="1"/>
      </xdr:nvSpPr>
      <xdr:spPr>
        <a:xfrm>
          <a:off x="1692088" y="30536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453839</xdr:colOff>
      <xdr:row>9</xdr:row>
      <xdr:rowOff>140073</xdr:rowOff>
    </xdr:from>
    <xdr:ext cx="2706221" cy="487457"/>
    <xdr:sp macro="" textlink="'Inclusivity in MGNREGA Employm'!Q41">
      <xdr:nvSpPr>
        <xdr:cNvPr id="47" name="TextBox 46">
          <a:extLst>
            <a:ext uri="{FF2B5EF4-FFF2-40B4-BE49-F238E27FC236}">
              <a16:creationId xmlns:a16="http://schemas.microsoft.com/office/drawing/2014/main" id="{922A2382-4A3B-9CAC-2C71-320EFB701E25}"/>
            </a:ext>
          </a:extLst>
        </xdr:cNvPr>
        <xdr:cNvSpPr txBox="1"/>
      </xdr:nvSpPr>
      <xdr:spPr>
        <a:xfrm>
          <a:off x="1294280" y="2762249"/>
          <a:ext cx="2706221" cy="48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16099D-F134-4F7F-BC20-C8628C3A6082}" type="TxLink">
            <a:rPr lang="en-US"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rPr>
            <a:pPr marL="0" indent="0"/>
            <a:t> 17,59,16,463 </a:t>
          </a:fld>
          <a:endParaRPr lang="en-IN" sz="2800" b="1" i="0" u="none" strike="noStrike">
            <a:solidFill>
              <a:schemeClr val="accent4">
                <a:lumMod val="60000"/>
                <a:lumOff val="40000"/>
              </a:schemeClr>
            </a:solidFill>
            <a:latin typeface="Arial" panose="020B0604020202020204" pitchFamily="34" charset="0"/>
            <a:ea typeface="+mn-ea"/>
            <a:cs typeface="Arial" panose="020B0604020202020204" pitchFamily="34" charset="0"/>
          </a:endParaRPr>
        </a:p>
      </xdr:txBody>
    </xdr:sp>
    <xdr:clientData/>
  </xdr:oneCellAnchor>
  <xdr:twoCellAnchor>
    <xdr:from>
      <xdr:col>9</xdr:col>
      <xdr:colOff>657358</xdr:colOff>
      <xdr:row>7</xdr:row>
      <xdr:rowOff>107324</xdr:rowOff>
    </xdr:from>
    <xdr:to>
      <xdr:col>14</xdr:col>
      <xdr:colOff>791514</xdr:colOff>
      <xdr:row>22</xdr:row>
      <xdr:rowOff>174401</xdr:rowOff>
    </xdr:to>
    <xdr:sp macro="" textlink="">
      <xdr:nvSpPr>
        <xdr:cNvPr id="50" name="Rectangle: Rounded Corners 49">
          <a:extLst>
            <a:ext uri="{FF2B5EF4-FFF2-40B4-BE49-F238E27FC236}">
              <a16:creationId xmlns:a16="http://schemas.microsoft.com/office/drawing/2014/main" id="{EDBAE13D-3D02-48FC-8FB5-4C3010F7D26F}"/>
            </a:ext>
          </a:extLst>
        </xdr:cNvPr>
        <xdr:cNvSpPr/>
      </xdr:nvSpPr>
      <xdr:spPr>
        <a:xfrm>
          <a:off x="8203573" y="2126356"/>
          <a:ext cx="4326497" cy="4393573"/>
        </a:xfrm>
        <a:prstGeom prst="roundRect">
          <a:avLst>
            <a:gd name="adj" fmla="val 977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Percentage of Persondays: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editAs="oneCell">
    <xdr:from>
      <xdr:col>15</xdr:col>
      <xdr:colOff>13415</xdr:colOff>
      <xdr:row>0</xdr:row>
      <xdr:rowOff>167693</xdr:rowOff>
    </xdr:from>
    <xdr:to>
      <xdr:col>18</xdr:col>
      <xdr:colOff>140862</xdr:colOff>
      <xdr:row>22</xdr:row>
      <xdr:rowOff>147571</xdr:rowOff>
    </xdr:to>
    <mc:AlternateContent xmlns:mc="http://schemas.openxmlformats.org/markup-compatibility/2006">
      <mc:Choice xmlns:a14="http://schemas.microsoft.com/office/drawing/2010/main" Requires="a14">
        <xdr:graphicFrame macro="">
          <xdr:nvGraphicFramePr>
            <xdr:cNvPr id="53" name="state_name 6">
              <a:extLst>
                <a:ext uri="{FF2B5EF4-FFF2-40B4-BE49-F238E27FC236}">
                  <a16:creationId xmlns:a16="http://schemas.microsoft.com/office/drawing/2014/main" id="{C79310DE-28F9-41B1-AD45-DE9B070BF8DF}"/>
                </a:ext>
              </a:extLst>
            </xdr:cNvPr>
            <xdr:cNvGraphicFramePr/>
          </xdr:nvGraphicFramePr>
          <xdr:xfrm>
            <a:off x="0" y="0"/>
            <a:ext cx="0" cy="0"/>
          </xdr:xfrm>
          <a:graphic>
            <a:graphicData uri="http://schemas.microsoft.com/office/drawing/2010/slicer">
              <sle:slicer xmlns:sle="http://schemas.microsoft.com/office/drawing/2010/slicer" name="state_name 6"/>
            </a:graphicData>
          </a:graphic>
        </xdr:graphicFrame>
      </mc:Choice>
      <mc:Fallback>
        <xdr:sp macro="" textlink="">
          <xdr:nvSpPr>
            <xdr:cNvPr id="0" name=""/>
            <xdr:cNvSpPr>
              <a:spLocks noTextEdit="1"/>
            </xdr:cNvSpPr>
          </xdr:nvSpPr>
          <xdr:spPr>
            <a:xfrm>
              <a:off x="12558537" y="167693"/>
              <a:ext cx="2636471" cy="636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33537</xdr:colOff>
      <xdr:row>9</xdr:row>
      <xdr:rowOff>167692</xdr:rowOff>
    </xdr:from>
    <xdr:to>
      <xdr:col>9</xdr:col>
      <xdr:colOff>563449</xdr:colOff>
      <xdr:row>21</xdr:row>
      <xdr:rowOff>214646</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87A05ED4-3530-4F77-8083-8CC7D0BC46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4225879" y="2763591"/>
              <a:ext cx="3883785" cy="35081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684190</xdr:colOff>
      <xdr:row>8</xdr:row>
      <xdr:rowOff>221356</xdr:rowOff>
    </xdr:from>
    <xdr:to>
      <xdr:col>14</xdr:col>
      <xdr:colOff>617113</xdr:colOff>
      <xdr:row>22</xdr:row>
      <xdr:rowOff>0</xdr:rowOff>
    </xdr:to>
    <xdr:graphicFrame macro="">
      <xdr:nvGraphicFramePr>
        <xdr:cNvPr id="56" name="Chart 55">
          <a:extLst>
            <a:ext uri="{FF2B5EF4-FFF2-40B4-BE49-F238E27FC236}">
              <a16:creationId xmlns:a16="http://schemas.microsoft.com/office/drawing/2014/main" id="{DCFBB60E-4095-4C70-99FD-8C5EFB2A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489666</xdr:colOff>
      <xdr:row>11</xdr:row>
      <xdr:rowOff>254893</xdr:rowOff>
    </xdr:from>
    <xdr:to>
      <xdr:col>4</xdr:col>
      <xdr:colOff>784807</xdr:colOff>
      <xdr:row>22</xdr:row>
      <xdr:rowOff>127448</xdr:rowOff>
    </xdr:to>
    <xdr:sp macro="" textlink="">
      <xdr:nvSpPr>
        <xdr:cNvPr id="60" name="Rectangle: Rounded Corners 59">
          <a:extLst>
            <a:ext uri="{FF2B5EF4-FFF2-40B4-BE49-F238E27FC236}">
              <a16:creationId xmlns:a16="http://schemas.microsoft.com/office/drawing/2014/main" id="{9929D357-D35D-45A2-83CD-06890517744F}"/>
            </a:ext>
          </a:extLst>
        </xdr:cNvPr>
        <xdr:cNvSpPr/>
      </xdr:nvSpPr>
      <xdr:spPr>
        <a:xfrm>
          <a:off x="1328135" y="3427658"/>
          <a:ext cx="2810545" cy="3045318"/>
        </a:xfrm>
        <a:prstGeom prst="roundRect">
          <a:avLst>
            <a:gd name="adj" fmla="val 977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Statewise</a:t>
          </a:r>
          <a:r>
            <a:rPr lang="en-IN" sz="1800" b="1" i="0" u="none" strike="noStrike" baseline="0">
              <a:solidFill>
                <a:srgbClr val="7030A0"/>
              </a:solidFill>
              <a:effectLst/>
              <a:latin typeface="Arial" panose="020B0604020202020204" pitchFamily="34" charset="0"/>
              <a:ea typeface="+mn-ea"/>
              <a:cs typeface="Arial" panose="020B0604020202020204" pitchFamily="34" charset="0"/>
            </a:rPr>
            <a:t> No.of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xdr:col>
      <xdr:colOff>436005</xdr:colOff>
      <xdr:row>14</xdr:row>
      <xdr:rowOff>40247</xdr:rowOff>
    </xdr:from>
    <xdr:to>
      <xdr:col>4</xdr:col>
      <xdr:colOff>744561</xdr:colOff>
      <xdr:row>22</xdr:row>
      <xdr:rowOff>80493</xdr:rowOff>
    </xdr:to>
    <mc:AlternateContent xmlns:mc="http://schemas.openxmlformats.org/markup-compatibility/2006">
      <mc:Choice xmlns:cx4="http://schemas.microsoft.com/office/drawing/2016/5/10/chartex" Requires="cx4">
        <xdr:graphicFrame macro="">
          <xdr:nvGraphicFramePr>
            <xdr:cNvPr id="59" name="Chart 58">
              <a:extLst>
                <a:ext uri="{FF2B5EF4-FFF2-40B4-BE49-F238E27FC236}">
                  <a16:creationId xmlns:a16="http://schemas.microsoft.com/office/drawing/2014/main" id="{E5361971-343E-4997-993D-533DADF19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274474" y="4078310"/>
              <a:ext cx="2823960" cy="23477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798032406" backgroundQuery="1" createdVersion="8" refreshedVersion="8" minRefreshableVersion="3" recordCount="0" supportSubquery="1" supportAdvancedDrill="1" xr:uid="{B9E4AAB6-204C-454A-90D5-3E0836C82E46}">
  <cacheSource type="external" connectionId="9"/>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Job Card Utilization]" caption="Average of Job Card Utilization" numFmtId="0" hierarchy="102"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3148149" backgroundQuery="1" createdVersion="8" refreshedVersion="8" minRefreshableVersion="3" recordCount="0" supportSubquery="1" supportAdvancedDrill="1" xr:uid="{4F9EDDFD-35AB-42A0-A1E7-7C9F650E0445}">
  <cacheSource type="external" connectionId="9"/>
  <cacheFields count="2">
    <cacheField name="[Measures].[Sum of Total No. of Workers]" caption="Sum of Total No. of Workers" numFmtId="0" hierarchy="115" level="32767"/>
    <cacheField name="[MGNREGA].[state_name].[state_name]" caption="state_name" numFmtId="0" hierarchy="53" level="1">
      <sharedItems containsSemiMixedTypes="0" containsNonDate="0" containsString="0"/>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oneField="1" hidden="1">
      <fieldsUsage count="1">
        <fieldUsage x="0"/>
      </fieldsUsage>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3495372" backgroundQuery="1" createdVersion="8" refreshedVersion="8" minRefreshableVersion="3" recordCount="0" supportSubquery="1" supportAdvancedDrill="1" xr:uid="{BA4C7AFC-6356-4FE3-95D9-AE333EE64340}">
  <cacheSource type="external" connectionId="9"/>
  <cacheFields count="2">
    <cacheField name="[Measures].[Sum of Total No. of Active Job Cards]" caption="Sum of Total No. of Active Job Cards" numFmtId="0" hierarchy="97" level="32767"/>
    <cacheField name="[MGNREGA].[state_name].[state_name]" caption="state_name" numFmtId="0" hierarchy="53" level="1">
      <sharedItems containsSemiMixedTypes="0" containsNonDate="0" containsString="0"/>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372685" backgroundQuery="1" createdVersion="8" refreshedVersion="8" minRefreshableVersion="3" recordCount="0" supportSubquery="1" supportAdvancedDrill="1" xr:uid="{E6401258-C083-41AC-8CF4-DA5C4E2CB612}">
  <cacheSource type="external" connectionId="9"/>
  <cacheFields count="2">
    <cacheField name="[Measures].[Sum of Total No. of Active Workers]" caption="Sum of Total No. of Active Workers" numFmtId="0" hierarchy="103" level="32767"/>
    <cacheField name="[MGNREGA].[state_name].[state_name]" caption="state_name" numFmtId="0" hierarchy="53" level="1">
      <sharedItems containsSemiMixedTypes="0" containsNonDate="0" containsString="0"/>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oneField="1" hidden="1">
      <fieldsUsage count="1">
        <fieldUsage x="0"/>
      </fieldsUsage>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4305557" backgroundQuery="1" createdVersion="8" refreshedVersion="8" minRefreshableVersion="3" recordCount="0" supportSubquery="1" supportAdvancedDrill="1" xr:uid="{403C7551-E01F-4135-B8F6-8704D4E935EF}">
  <cacheSource type="external" connectionId="9"/>
  <cacheFields count="2">
    <cacheField name="[MGNREGA].[state_name].[state_name]" caption="state_name" numFmtId="0" hierarchy="53" level="1">
      <sharedItems count="3">
        <s v="UTTAR PRADESH"/>
        <s v="MANIPUR" u="1"/>
        <s v="NAGALAND" u="1"/>
      </sharedItems>
    </cacheField>
    <cacheField name="[Measures].[Average of Job Card Utilization]" caption="Average of Job Card Utilization" numFmtId="0" hierarchy="102"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4768519" backgroundQuery="1" createdVersion="8" refreshedVersion="8" minRefreshableVersion="3" recordCount="0" supportSubquery="1" supportAdvancedDrill="1" xr:uid="{EEA06589-5730-4FED-8C42-67D4B58FD5F2}">
  <cacheSource type="external" connectionId="9"/>
  <cacheFields count="2">
    <cacheField name="[MGNREGA].[state_name].[state_name]" caption="state_name" numFmtId="0" hierarchy="53" level="1">
      <sharedItems count="2">
        <s v="UTTAR PRADESH"/>
        <s v="LAKSHADWEEP" u="1"/>
      </sharedItems>
    </cacheField>
    <cacheField name="[Measures].[Average of Job Card Utilization]" caption="Average of Job Card Utilization" numFmtId="0" hierarchy="102"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534722" backgroundQuery="1" createdVersion="8" refreshedVersion="8" minRefreshableVersion="3" recordCount="0" supportSubquery="1" supportAdvancedDrill="1" xr:uid="{6E142DD2-280F-4B86-9708-CAF9231064CE}">
  <cacheSource type="external" connectionId="9"/>
  <cacheFields count="3">
    <cacheField name="[MGNREGA].[state_name].[state_name]" caption="state_name" numFmtId="0" hierarchy="53" level="1">
      <sharedItems count="1">
        <s v="UTTAR PRADESH"/>
      </sharedItems>
    </cacheField>
    <cacheField name="[Measures].[Average of Job Card Utilization]" caption="Average of Job Card Utilization" numFmtId="0" hierarchy="102" level="32767"/>
    <cacheField name="[Measures].[Average of Worker Participation Rate]" caption="Average of Worker Participation Rate" numFmtId="0" hierarchy="101"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oneField="1" hidden="1">
      <fieldsUsage count="1">
        <fieldUsage x="2"/>
      </fieldsUsage>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3235532407" backgroundQuery="1" createdVersion="8" refreshedVersion="8" minRefreshableVersion="3" recordCount="0" supportSubquery="1" supportAdvancedDrill="1" xr:uid="{42BF39EA-88E7-499B-9AF1-06D9D1ECAD7E}">
  <cacheSource type="external" connectionId="9"/>
  <cacheFields count="4">
    <cacheField name="[MGNREGA].[state_name].[state_name]" caption="state_name" numFmtId="0" hierarchy="53" level="1">
      <sharedItems count="1">
        <s v="RAJASTHAN"/>
      </sharedItems>
    </cacheField>
    <cacheField name="[Measures].[Sum of SC workers against active workers]" caption="Sum of SC workers against active workers" numFmtId="0" hierarchy="116" level="32767"/>
    <cacheField name="[Measures].[Sum of ST workers against active workers]" caption="Sum of ST workers against active workers" numFmtId="0" hierarchy="117" level="32767"/>
    <cacheField name="[Measures].[Sum of Total No. of Active Workers]" caption="Sum of Total No. of Active Workers" numFmtId="0" hierarchy="103"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oneField="1" hidden="1">
      <fieldsUsage count="1">
        <fieldUsage x="3"/>
      </fieldsUsage>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3237615739" backgroundQuery="1" createdVersion="8" refreshedVersion="8" minRefreshableVersion="3" recordCount="0" supportSubquery="1" supportAdvancedDrill="1" xr:uid="{52BC60B3-EB39-4931-B8D1-8A54D1D44B54}">
  <cacheSource type="external" connectionId="9"/>
  <cacheFields count="3">
    <cacheField name="[MGNREGA].[Persondays Attribute].[Persondays Attribute]" caption="Persondays Attribute" numFmtId="0" hierarchy="84" level="1">
      <sharedItems count="4">
        <s v="Persondays of Central Liability so far"/>
        <s v="SC persondays"/>
        <s v="ST persondays"/>
        <s v="Women Persondays"/>
      </sharedItems>
    </cacheField>
    <cacheField name="[Measures].[Sum of Total Persondays]" caption="Sum of Total Persondays" numFmtId="0" hierarchy="121" level="32767"/>
    <cacheField name="[MGNREGA].[state_name].[state_name]" caption="state_name" numFmtId="0" hierarchy="53" level="1">
      <sharedItems containsSemiMixedTypes="0" containsNonDate="0" containsString="0"/>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2"/>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2" memberValueDatatype="130" unbalanced="0">
      <fieldsUsage count="2">
        <fieldUsage x="-1"/>
        <fieldUsage x="0"/>
      </fieldsUsage>
    </cacheHierarchy>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oneField="1" hidden="1">
      <fieldsUsage count="1">
        <fieldUsage x="1"/>
      </fieldsUsage>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788888892" backgroundQuery="1" createdVersion="3" refreshedVersion="8" minRefreshableVersion="3" recordCount="0" supportSubquery="1" supportAdvancedDrill="1" xr:uid="{B4A6CDBA-E78C-4633-9D45-573875E195A7}">
  <cacheSource type="external" connectionId="9">
    <extLst>
      <ext xmlns:x14="http://schemas.microsoft.com/office/spreadsheetml/2009/9/main" uri="{F057638F-6D5F-4e77-A914-E7F072B9BCA8}">
        <x14:sourceConnection name="ThisWorkbookDataModel"/>
      </ext>
    </extLst>
  </cacheSource>
  <cacheFields count="0"/>
  <cacheHierarchies count="121">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ies>
  <kpis count="0"/>
  <extLst>
    <ext xmlns:x14="http://schemas.microsoft.com/office/spreadsheetml/2009/9/main" uri="{725AE2AE-9491-48be-B2B4-4EB974FC3084}">
      <x14:pivotCacheDefinition slicerData="1" pivotCacheId="730252661"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799768515" backgroundQuery="1" createdVersion="3" refreshedVersion="8" minRefreshableVersion="3" recordCount="0" supportSubquery="1" supportAdvancedDrill="1" xr:uid="{A8FB36B8-2395-4B94-BAEF-76FEE5FBFA50}">
  <cacheSource type="external" connectionId="9">
    <extLst>
      <ext xmlns:x14="http://schemas.microsoft.com/office/spreadsheetml/2009/9/main" uri="{F057638F-6D5F-4e77-A914-E7F072B9BCA8}">
        <x14:sourceConnection name="ThisWorkbookDataModel"/>
      </ext>
    </extLst>
  </cacheSource>
  <cacheFields count="0"/>
  <cacheHierarchies count="121">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ies>
  <kpis count="0"/>
  <extLst>
    <ext xmlns:x14="http://schemas.microsoft.com/office/spreadsheetml/2009/9/main" uri="{725AE2AE-9491-48be-B2B4-4EB974FC3084}">
      <x14:pivotCacheDefinition slicerData="1" pivotCacheId="12498117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799189815" backgroundQuery="1" createdVersion="8" refreshedVersion="8" minRefreshableVersion="3" recordCount="0" supportSubquery="1" supportAdvancedDrill="1" xr:uid="{7B955787-29F7-4F9D-9D14-C99E61E05739}">
  <cacheSource type="external" connectionId="9"/>
  <cacheFields count="3">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No. of JobCards issued]" caption="Sum of Total No. of JobCards issued" numFmtId="0" hierarchy="96" level="32767"/>
    <cacheField name="[Measures].[Sum of Total No. of Active Job Cards]" caption="Sum of Total No. of Active Job Cards" numFmtId="0" hierarchy="97"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7291666" backgroundQuery="1" createdVersion="3" refreshedVersion="8" minRefreshableVersion="3" recordCount="0" supportSubquery="1" supportAdvancedDrill="1" xr:uid="{7E9DF021-9352-4383-B9F8-FD9E0ED4E747}">
  <cacheSource type="external" connectionId="9">
    <extLst>
      <ext xmlns:x14="http://schemas.microsoft.com/office/spreadsheetml/2009/9/main" uri="{F057638F-6D5F-4e77-A914-E7F072B9BCA8}">
        <x14:sourceConnection name="ThisWorkbookDataModel"/>
      </ext>
    </extLst>
  </cacheSource>
  <cacheFields count="0"/>
  <cacheHierarchies count="121">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ies>
  <kpis count="0"/>
  <extLst>
    <ext xmlns:x14="http://schemas.microsoft.com/office/spreadsheetml/2009/9/main" uri="{725AE2AE-9491-48be-B2B4-4EB974FC3084}">
      <x14:pivotCacheDefinition slicerData="1" pivotCacheId="7546107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05787" backgroundQuery="1" createdVersion="8" refreshedVersion="8" minRefreshableVersion="3" recordCount="0" supportSubquery="1" supportAdvancedDrill="1" xr:uid="{EA260125-8B53-4F35-B313-24AE070322E7}">
  <cacheSource type="external" connectionId="9"/>
  <cacheFields count="2">
    <cacheField name="[MGNREGA].[state_name].[state_name]" caption="state_name" numFmtId="0" hierarchy="53" level="1">
      <sharedItems count="7">
        <s v="ARUNACHAL PRADESH"/>
        <s v="LADAKH"/>
        <s v="MANIPUR"/>
        <s v="MEGHALAYA"/>
        <s v="MIZORAM"/>
        <s v="NAGALAND"/>
        <s v="TRIPURA"/>
      </sharedItems>
    </cacheField>
    <cacheField name="[Measures].[Average of Worker Participation Rate]" caption="Average of Worker Participation Rate" numFmtId="0" hierarchy="101"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oneField="1" hidden="1">
      <fieldsUsage count="1">
        <fieldUsage x="1"/>
      </fieldsUsage>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2430555" backgroundQuery="1" createdVersion="8" refreshedVersion="8" minRefreshableVersion="3" recordCount="0" supportSubquery="1" supportAdvancedDrill="1" xr:uid="{AB35F2CC-51F2-468E-A1AC-F63346E4BCDF}">
  <cacheSource type="external" connectionId="9"/>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Worker Participation Rate]" caption="Average of Worker Participation Rate" numFmtId="0" hierarchy="101"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oneField="1" hidden="1">
      <fieldsUsage count="1">
        <fieldUsage x="1"/>
      </fieldsUsage>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3587964" backgroundQuery="1" createdVersion="8" refreshedVersion="8" minRefreshableVersion="3" recordCount="0" supportSubquery="1" supportAdvancedDrill="1" xr:uid="{44051469-B22F-4929-B56C-41CCA6FA45FA}">
  <cacheSource type="external" connectionId="9"/>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No. of Active Workers]" caption="Sum of Total No. of Active Workers" numFmtId="0" hierarchy="103"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4513888" backgroundQuery="1" createdVersion="8" refreshedVersion="8" minRefreshableVersion="3" recordCount="0" supportSubquery="1" supportAdvancedDrill="1" xr:uid="{A06B2544-BB3D-47AC-B453-C35B38645F45}">
  <cacheSource type="external" connectionId="9"/>
  <cacheFields count="2">
    <cacheField name="[MGNREGA].[state_name].[state_name]" caption="state_name" numFmtId="0" hierarchy="53" level="1">
      <sharedItems count="7">
        <s v="ANDAMAN AND NICOBAR"/>
        <s v="DN HAVELI AND DD"/>
        <s v="GOA"/>
        <s v="GUJARAT"/>
        <s v="HARYANA"/>
        <s v="LAKSHADWEEP"/>
        <s v="MAHARASHTRA"/>
      </sharedItems>
    </cacheField>
    <cacheField name="[Measures].[Average of Worker Participation Rate]" caption="Average of Worker Participation Rate" numFmtId="0" hierarchy="101"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oneField="1" hidden="1">
      <fieldsUsage count="1">
        <fieldUsage x="1"/>
      </fieldsUsage>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670806712966" backgroundQuery="1" createdVersion="8" refreshedVersion="8" minRefreshableVersion="3" recordCount="0" supportSubquery="1" supportAdvancedDrill="1" xr:uid="{F776C71C-D647-4719-85B1-9E1268162A12}">
  <cacheSource type="external" connectionId="9"/>
  <cacheFields count="4">
    <cacheField name="[AVERAGE WAGE RATE].[State].[State]" caption="State" numFmtId="0" hierarchy="1"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Value]" caption="Sum of Value" numFmtId="0" hierarchy="112" level="32767"/>
    <cacheField name="[Measures].[Sum of Inflation.Value]" caption="Sum of Inflation.Value" numFmtId="0" hierarchy="113" level="32767"/>
    <cacheField name="[AVERAGE WAGE RATE].[Financial Year].[Financial Year]" caption="Financial Year" numFmtId="0" hierarchy="15" level="1">
      <sharedItems count="3">
        <s v="FY 2021-2022"/>
        <s v="FY 2022-2023"/>
        <s v="FY 2023-2024"/>
      </sharedItems>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2" memberValueDatatype="130" unbalanced="0">
      <fieldsUsage count="2">
        <fieldUsage x="-1"/>
        <fieldUsage x="0"/>
      </fieldsUsage>
    </cacheHierarchy>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2" memberValueDatatype="130" unbalanced="0">
      <fieldsUsage count="2">
        <fieldUsage x="-1"/>
        <fieldUsage x="3"/>
      </fieldsUsage>
    </cacheHierarchy>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0" memberValueDatatype="130" unbalanced="0"/>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2453702" backgroundQuery="1" createdVersion="8" refreshedVersion="8" minRefreshableVersion="3" recordCount="0" supportSubquery="1" supportAdvancedDrill="1" xr:uid="{090ED69C-2CA1-49CA-87BA-A1086F3668EA}">
  <cacheSource type="external" connectionId="9"/>
  <cacheFields count="3">
    <cacheField name="[MGNREGA].[state_name].[state_name]" caption="state_name" numFmtId="0" hierarchy="53" level="1">
      <sharedItems count="1">
        <s v="UTTAR PRADESH"/>
      </sharedItems>
    </cacheField>
    <cacheField name="[Measures].[Sum of Total No. of JobCards issued]" caption="Sum of Total No. of JobCards issued" numFmtId="0" hierarchy="96" level="32767"/>
    <cacheField name="[Measures].[Sum of Total No. of Active Job Cards]" caption="Sum of Total No. of Active Job Cards" numFmtId="0" hierarchy="97" level="32767"/>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23.711322916664" backgroundQuery="1" createdVersion="8" refreshedVersion="8" minRefreshableVersion="3" recordCount="0" supportSubquery="1" supportAdvancedDrill="1" xr:uid="{41E6CABA-F8EE-4360-9D22-A1CCA31EE37C}">
  <cacheSource type="external" connectionId="9"/>
  <cacheFields count="2">
    <cacheField name="[Measures].[Sum of Total No. of JobCards issued]" caption="Sum of Total No. of JobCards issued" numFmtId="0" hierarchy="96" level="32767"/>
    <cacheField name="[MGNREGA].[state_name].[state_name]" caption="state_name" numFmtId="0" hierarchy="53" level="1">
      <sharedItems containsSemiMixedTypes="0" containsNonDate="0" containsString="0"/>
    </cacheField>
  </cacheFields>
  <cacheHierarchies count="122">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GNREGA].[Persondays Attribute]" caption="Persondays Attribute" attribute="1" defaultMemberUniqueName="[MGNREGA].[Persondays Attribute].[All]" allUniqueName="[MGNREGA].[Persondays Attribute].[All]" dimensionUniqueName="[MGNREGA]" displayFolder="" count="0" memberValueDatatype="130" unbalanced="0"/>
    <cacheHierarchy uniqueName="[MGNREGA].[Total Persondays]" caption="Total Persondays" attribute="1" defaultMemberUniqueName="[MGNREGA].[Total Persondays].[All]" allUniqueName="[MGNREGA].[Total Persondays].[All]" dimensionUniqueName="[MGNREGA]" displayFolder="" count="0" memberValueDatatype="20" unbalanced="0"/>
    <cacheHierarchy uniqueName="[MGNREGA SC ST WOMEN PERSONDAYS].[state_name]" caption="state_name" attribute="1" defaultMemberUniqueName="[MGNREGA SC ST WOMEN PERSONDAYS].[state_name].[All]" allUniqueName="[MGNREGA SC ST WOMEN PERSONDAYS].[state_name].[All]" dimensionUniqueName="[MGNREGA SC ST WOMEN PERSONDAYS]" displayFolder="" count="0" memberValueDatatype="130" unbalanced="0"/>
    <cacheHierarchy uniqueName="[MGNREGA SC ST WOMEN PERSONDAYS].[Attribute]" caption="Attribute" attribute="1" defaultMemberUniqueName="[MGNREGA SC ST WOMEN PERSONDAYS].[Attribute].[All]" allUniqueName="[MGNREGA SC ST WOMEN PERSONDAYS].[Attribute].[All]" dimensionUniqueName="[MGNREGA SC ST WOMEN PERSONDAYS]" displayFolder="" count="0" memberValueDatatype="130" unbalanced="0"/>
    <cacheHierarchy uniqueName="[MGNREGA SC ST WOMEN PERSONDAYS].[Value]" caption="Value" attribute="1" defaultMemberUniqueName="[MGNREGA SC ST WOMEN PERSONDAYS].[Value].[All]" allUniqueName="[MGNREGA SC ST WOMEN PERSONDAYS].[Value].[All]" dimensionUniqueName="[MGNREGA SC ST WOMEN PERSONDAYS]"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XL_Count MGNREGA SC ST WOMEN PERSONDAYS]" caption="__XL_Count MGNREGA SC ST WOMEN PERSONDAYS" measure="1" displayFolder="" measureGroup="MGNREGA SC ST WOMEN PERSONDAYS"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0"/>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79"/>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1"/>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2"/>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3"/>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2"/>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y uniqueName="[Measures].[Sum of SC workers against active workers]" caption="Sum of SC workers against active workers" measure="1" displayFolder="" measureGroup="MGNREGA" count="0" hidden="1">
      <extLst>
        <ext xmlns:x15="http://schemas.microsoft.com/office/spreadsheetml/2010/11/main" uri="{B97F6D7D-B522-45F9-BDA1-12C45D357490}">
          <x15:cacheHierarchy aggregatedColumn="59"/>
        </ext>
      </extLst>
    </cacheHierarchy>
    <cacheHierarchy uniqueName="[Measures].[Sum of ST workers against active workers]" caption="Sum of ST workers against active workers" measure="1" displayFolder="" measureGroup="MGNREGA" count="0" hidden="1">
      <extLst>
        <ext xmlns:x15="http://schemas.microsoft.com/office/spreadsheetml/2010/11/main" uri="{B97F6D7D-B522-45F9-BDA1-12C45D357490}">
          <x15:cacheHierarchy aggregatedColumn="60"/>
        </ext>
      </extLst>
    </cacheHierarchy>
    <cacheHierarchy uniqueName="[Measures].[Sum of Value 2]" caption="Sum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Count of Attribute]" caption="Count of Attribute" measure="1" displayFolder="" measureGroup="MGNREGA SC ST WOMEN PERSONDAYS" count="0" hidden="1">
      <extLst>
        <ext xmlns:x15="http://schemas.microsoft.com/office/spreadsheetml/2010/11/main" uri="{B97F6D7D-B522-45F9-BDA1-12C45D357490}">
          <x15:cacheHierarchy aggregatedColumn="87"/>
        </ext>
      </extLst>
    </cacheHierarchy>
    <cacheHierarchy uniqueName="[Measures].[Average of Value 2]" caption="Average of Value 2" measure="1" displayFolder="" measureGroup="MGNREGA SC ST WOMEN PERSONDAYS" count="0" hidden="1">
      <extLst>
        <ext xmlns:x15="http://schemas.microsoft.com/office/spreadsheetml/2010/11/main" uri="{B97F6D7D-B522-45F9-BDA1-12C45D357490}">
          <x15:cacheHierarchy aggregatedColumn="88"/>
        </ext>
      </extLst>
    </cacheHierarchy>
    <cacheHierarchy uniqueName="[Measures].[Sum of Total Persondays]" caption="Sum of Total Persondays" measure="1" displayFolder="" measureGroup="MGNREGA" count="0" hidden="1">
      <extLst>
        <ext xmlns:x15="http://schemas.microsoft.com/office/spreadsheetml/2010/11/main" uri="{B97F6D7D-B522-45F9-BDA1-12C45D357490}">
          <x15:cacheHierarchy aggregatedColumn="85"/>
        </ext>
      </extLst>
    </cacheHierarchy>
  </cacheHierarchies>
  <kpis count="0"/>
  <dimensions count="7">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 name="MGNREGA SC ST WOMEN PERSONDAYS" uniqueName="[MGNREGA SC ST WOMEN PERSONDAYS]" caption="MGNREGA SC ST WOMEN PERSONDAYS"/>
  </dimensions>
  <measureGroups count="6">
    <measureGroup name="AVERAGE WAGE RATE" caption="AVERAGE WAGE RATE"/>
    <measureGroup name="avg_wage_paid  2" caption="avg_wage_paid  2"/>
    <measureGroup name="avg_wage_paid  3" caption="avg_wage_paid  3"/>
    <measureGroup name="Inflation" caption="Inflation"/>
    <measureGroup name="MGNREGA" caption="MGNREGA"/>
    <measureGroup name="MGNREGA SC ST WOMEN PERSONDAYS" caption="MGNREGA SC ST WOMEN PERSONDAYS"/>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248B3-1FE9-457D-8E29-075A17BC9DDB}" name="PivotTable25" cacheId="17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80:H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Active Workers" fld="0" baseField="0" baseItem="0"/>
  </dataFields>
  <formats count="2">
    <format dxfId="169">
      <pivotArea outline="0" collapsedLevelsAreSubtotals="1" fieldPosition="0"/>
    </format>
    <format dxfId="170">
      <pivotArea dataOnly="0" labelOnly="1" grandRow="1" outline="0" fieldPosition="0"/>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GNREGA].[state_name].&amp;[UTTAR PRADE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166761-6AD3-45B5-87CE-31EA43F23B43}" name="PivotTable27" cacheId="17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116:C118" firstHeaderRow="1" firstDataRow="1" firstDataCol="1"/>
  <pivotFields count="2">
    <pivotField axis="axisRow" allDrilled="1" subtotalTop="0" showAll="0" dataSourceSort="1" defaultSubtotal="0" defaultAttributeDrillState="1">
      <items count="2">
        <item s="1" x="0"/>
        <item x="1"/>
      </items>
    </pivotField>
    <pivotField dataField="1" subtotalTop="0" showAll="0" defaultSubtotal="0"/>
  </pivotFields>
  <rowFields count="1">
    <field x="0"/>
  </rowFields>
  <rowItems count="2">
    <i>
      <x/>
    </i>
    <i t="grand">
      <x/>
    </i>
  </rowItems>
  <colItems count="1">
    <i/>
  </colItems>
  <dataFields count="1">
    <dataField name="Average of Job Card Utilization" fld="1" subtotal="average" baseField="0" baseItem="4" numFmtId="10"/>
  </dataFields>
  <formats count="6">
    <format dxfId="157">
      <pivotArea field="0" type="button" dataOnly="0" labelOnly="1" outline="0" axis="axisRow" fieldPosition="0"/>
    </format>
    <format dxfId="158">
      <pivotArea field="0" type="button" dataOnly="0" labelOnly="1" outline="0" axis="axisRow" fieldPosition="0"/>
    </format>
    <format dxfId="159">
      <pivotArea outline="0" collapsedLevelsAreSubtotals="1" fieldPosition="0"/>
    </format>
    <format dxfId="160">
      <pivotArea dataOnly="0" labelOnly="1" fieldPosition="0">
        <references count="1">
          <reference field="0" count="0"/>
        </references>
      </pivotArea>
    </format>
    <format dxfId="161">
      <pivotArea dataOnly="0" labelOnly="1" grandRow="1" outline="0" fieldPosition="0"/>
    </format>
    <format dxfId="162">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72786EA-B874-4DBF-A1EB-EC940B4C4A42}" name="PivotTable3" cacheId="136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B44:C51" firstHeaderRow="1" firstDataRow="1" firstDataCol="1"/>
  <pivotFields count="2">
    <pivotField axis="axisRow" allDrilled="1" subtotalTop="0" showAll="0"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i>
    <i>
      <x v="6"/>
    </i>
    <i>
      <x v="2"/>
    </i>
    <i>
      <x v="1"/>
    </i>
    <i>
      <x v="4"/>
    </i>
    <i>
      <x v="5"/>
    </i>
  </rowItems>
  <colItems count="1">
    <i/>
  </colItems>
  <dataFields count="1">
    <dataField name="Worker Participation Rate" fld="1" subtotal="average" baseField="0" baseItem="0" numFmtId="10"/>
  </dataFields>
  <formats count="5">
    <format dxfId="212">
      <pivotArea type="all" dataOnly="0" outline="0" fieldPosition="0"/>
    </format>
    <format dxfId="213">
      <pivotArea outline="0" collapsedLevelsAreSubtotals="1" fieldPosition="0"/>
    </format>
    <format dxfId="214">
      <pivotArea field="0" type="button" dataOnly="0" labelOnly="1" outline="0" axis="axisRow" fieldPosition="0"/>
    </format>
    <format dxfId="215">
      <pivotArea dataOnly="0" labelOnly="1" fieldPosition="0">
        <references count="1">
          <reference field="0" count="0"/>
        </references>
      </pivotArea>
    </format>
    <format dxfId="21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01">
      <autoFilter ref="A1">
        <filterColumn colId="0">
          <top10 val="7" filterVal="7"/>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1A252F-F869-41C0-891D-788ACCCBC601}" name="PivotTable2" cacheId="136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location ref="B3:C37"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8"/>
    </i>
    <i>
      <x v="8"/>
    </i>
    <i>
      <x v="9"/>
    </i>
    <i>
      <x v="4"/>
    </i>
    <i>
      <x v="14"/>
    </i>
    <i>
      <x v="12"/>
    </i>
    <i>
      <x v="13"/>
    </i>
    <i>
      <x v="3"/>
    </i>
    <i>
      <x v="10"/>
    </i>
    <i>
      <x v="29"/>
    </i>
    <i>
      <x v="31"/>
    </i>
    <i>
      <x v="25"/>
    </i>
    <i>
      <x v="17"/>
    </i>
    <i>
      <x v="33"/>
    </i>
    <i>
      <x v="11"/>
    </i>
    <i>
      <x v="26"/>
    </i>
    <i>
      <x v="32"/>
    </i>
    <i>
      <x v="28"/>
    </i>
    <i>
      <x v="23"/>
    </i>
    <i>
      <x v="1"/>
    </i>
    <i>
      <x v="24"/>
    </i>
    <i>
      <x v="27"/>
    </i>
    <i>
      <x v="5"/>
    </i>
    <i>
      <x v="20"/>
    </i>
    <i>
      <x v="2"/>
    </i>
    <i>
      <x v="30"/>
    </i>
    <i>
      <x v="19"/>
    </i>
    <i>
      <x v="15"/>
    </i>
    <i>
      <x v="21"/>
    </i>
    <i>
      <x v="22"/>
    </i>
  </rowItems>
  <colItems count="1">
    <i/>
  </colItems>
  <dataFields count="1">
    <dataField name="Worker Participation Rate" fld="1" subtotal="average" baseField="0" baseItem="0" numFmtId="10"/>
  </dataFields>
  <formats count="5">
    <format dxfId="217">
      <pivotArea type="all" dataOnly="0" outline="0" fieldPosition="0"/>
    </format>
    <format dxfId="218">
      <pivotArea outline="0" collapsedLevelsAreSubtotals="1" fieldPosition="0"/>
    </format>
    <format dxfId="219">
      <pivotArea field="0" type="button" dataOnly="0" labelOnly="1" outline="0" axis="axisRow" fieldPosition="0"/>
    </format>
    <format dxfId="220">
      <pivotArea dataOnly="0" labelOnly="1" fieldPosition="0">
        <references count="1">
          <reference field="0" count="0"/>
        </references>
      </pivotArea>
    </format>
    <format dxfId="2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1E4A4E-5E26-42A7-9699-6A9C11851B26}" name="PivotTable4" cacheId="136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M3:N37"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5"/>
    </i>
    <i>
      <x v="24"/>
    </i>
    <i>
      <x v="27"/>
    </i>
    <i>
      <x v="21"/>
    </i>
    <i>
      <x v="2"/>
    </i>
    <i>
      <x v="22"/>
    </i>
    <i>
      <x v="19"/>
    </i>
    <i>
      <x v="20"/>
    </i>
    <i>
      <x v="30"/>
    </i>
    <i>
      <x v="9"/>
    </i>
    <i>
      <x v="32"/>
    </i>
    <i>
      <x v="11"/>
    </i>
    <i>
      <x v="10"/>
    </i>
    <i>
      <x v="25"/>
    </i>
    <i>
      <x v="14"/>
    </i>
    <i>
      <x v="8"/>
    </i>
    <i>
      <x v="12"/>
    </i>
    <i>
      <x v="5"/>
    </i>
    <i>
      <x v="29"/>
    </i>
    <i>
      <x v="3"/>
    </i>
    <i>
      <x v="23"/>
    </i>
    <i>
      <x v="18"/>
    </i>
    <i>
      <x v="1"/>
    </i>
    <i>
      <x v="13"/>
    </i>
    <i>
      <x v="4"/>
    </i>
    <i>
      <x v="28"/>
    </i>
    <i>
      <x v="17"/>
    </i>
    <i>
      <x v="31"/>
    </i>
    <i>
      <x v="26"/>
    </i>
    <i>
      <x v="33"/>
    </i>
  </rowItems>
  <colItems count="1">
    <i/>
  </colItems>
  <dataFields count="1">
    <dataField name="Sum of Total No. of Active Workers" fld="1" baseField="0" baseItem="0"/>
  </dataFields>
  <formats count="6">
    <format dxfId="222">
      <pivotArea type="all" dataOnly="0" outline="0" fieldPosition="0"/>
    </format>
    <format dxfId="223">
      <pivotArea outline="0" collapsedLevelsAreSubtotals="1" fieldPosition="0"/>
    </format>
    <format dxfId="224">
      <pivotArea field="0" type="button" dataOnly="0" labelOnly="1" outline="0" axis="axisRow" fieldPosition="0"/>
    </format>
    <format dxfId="225">
      <pivotArea dataOnly="0" labelOnly="1" fieldPosition="0">
        <references count="1">
          <reference field="0" count="0"/>
        </references>
      </pivotArea>
    </format>
    <format dxfId="226">
      <pivotArea dataOnly="0" labelOnly="1" outline="0" axis="axisValues" fieldPosition="0"/>
    </format>
    <format dxfId="227">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FCC9FE-29D6-40C6-9FD8-070E19A15028}" name="PivotTable6" cacheId="136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B63:C70" firstHeaderRow="1" firstDataRow="1" firstDataCol="1"/>
  <pivotFields count="2">
    <pivotField axis="axisRow" allDrilled="1" subtotalTop="0" showAll="0"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1"/>
    </i>
    <i>
      <x v="5"/>
    </i>
    <i>
      <x v="2"/>
    </i>
    <i>
      <x/>
    </i>
    <i>
      <x v="6"/>
    </i>
    <i>
      <x v="3"/>
    </i>
    <i>
      <x v="4"/>
    </i>
  </rowItems>
  <colItems count="1">
    <i/>
  </colItems>
  <dataFields count="1">
    <dataField name="Worker Participation Rate" fld="1" subtotal="average" baseField="0" baseItem="0" numFmtId="10"/>
  </dataFields>
  <formats count="5">
    <format dxfId="228">
      <pivotArea type="all" dataOnly="0" outline="0" fieldPosition="0"/>
    </format>
    <format dxfId="229">
      <pivotArea outline="0" collapsedLevelsAreSubtotals="1" fieldPosition="0"/>
    </format>
    <format dxfId="230">
      <pivotArea field="0" type="button" dataOnly="0" labelOnly="1" outline="0" axis="axisRow" fieldPosition="0"/>
    </format>
    <format dxfId="231">
      <pivotArea dataOnly="0" labelOnly="1" fieldPosition="0">
        <references count="1">
          <reference field="0" count="0"/>
        </references>
      </pivotArea>
    </format>
    <format dxfId="23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1">
      <autoFilter ref="A1">
        <filterColumn colId="0">
          <top10 top="0" val="7" filterVal="7"/>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B861B70-540F-48D2-934E-1E85DD9B6B95}" name="PivotTable28" cacheId="183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location ref="B41:C4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 Persondays" fld="1" baseField="0" baseItem="0"/>
  </dataField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GNREGA].[state_name].&amp;[RAJAST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C Participation rate"/>
    <pivotHierarchy dragToData="1"/>
    <pivotHierarchy dragToData="1" caption="ST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alue"/>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activeTabTopLevelEntity name="[MGNREGA SC ST WOMEN PERSON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1672235-C020-44AB-B864-8A64882875AA}" name="PivotTable1" cacheId="1835"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3">
  <location ref="B3:E5" firstHeaderRow="0" firstDataRow="1" firstDataCol="1"/>
  <pivotFields count="4">
    <pivotField axis="axisRow" allDrilled="1" subtotalTop="0" showAll="0"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3">
    <i>
      <x/>
    </i>
    <i i="1">
      <x v="1"/>
    </i>
    <i i="2">
      <x v="2"/>
    </i>
  </colItems>
  <dataFields count="3">
    <dataField name="Sum of SC workers against active workers" fld="1" baseField="0" baseItem="0"/>
    <dataField name="Sum of ST workers against active workers" fld="2" baseField="0" baseItem="0"/>
    <dataField name="Sum of Total No. of Active Workers" fld="3" baseField="0" baseItem="0"/>
  </dataFields>
  <formats count="2">
    <format dxfId="28">
      <pivotArea dataOnly="0" labelOnly="1" outline="0" fieldPosition="0">
        <references count="1">
          <reference field="4294967294" count="1">
            <x v="1"/>
          </reference>
        </references>
      </pivotArea>
    </format>
    <format dxfId="29">
      <pivotArea dataOnly="0" labelOnly="1" outline="0" fieldPosition="0">
        <references count="1">
          <reference field="4294967294" count="1">
            <x v="0"/>
          </reference>
        </references>
      </pivotArea>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C Participation rate"/>
    <pivotHierarchy dragToData="1"/>
    <pivotHierarchy dragToData="1" caption="ST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alue"/>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activeTabTopLevelEntity name="[MGNREGA SC ST WOMEN PERSONDA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AA3DFE2-BCD8-4845-9056-987C1018B817}" name="PivotTable40" cacheId="136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3:H39" firstHeaderRow="1" firstDataRow="3" firstDataCol="1"/>
  <pivotFields count="4">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2">
    <field x="3"/>
    <field x="-2"/>
  </colFields>
  <colItems count="6">
    <i>
      <x/>
      <x/>
    </i>
    <i r="1" i="1">
      <x v="1"/>
    </i>
    <i>
      <x v="1"/>
      <x/>
    </i>
    <i r="1" i="1">
      <x v="1"/>
    </i>
    <i>
      <x v="2"/>
      <x/>
    </i>
    <i r="1" i="1">
      <x v="1"/>
    </i>
  </colItems>
  <dataFields count="2">
    <dataField name="Sum of Value" fld="1" baseField="0" baseItem="0"/>
    <dataField name="inflation (CPI %)" fld="2" baseField="0" baseItem="0" numFmtId="10"/>
  </dataField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flation (CP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1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VERAGE WAGE R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35FB04-BF1B-4E17-A315-1F9D9CF2D515}" name="PivotTable22" cacheId="17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80:B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JobCards issued" fld="0" baseField="0" baseItem="0"/>
  </dataFields>
  <formats count="2">
    <format dxfId="175">
      <pivotArea outline="0" collapsedLevelsAreSubtotals="1" fieldPosition="0"/>
    </format>
    <format dxfId="176">
      <pivotArea dataOnly="0" labelOnly="1" grandRow="1" outline="0" fieldPosition="0"/>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GNREGA].[state_name].&amp;[UTTAR PRADE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68D00B-1464-4D9D-A872-A93DBF540631}" name="PivotTable26" cacheId="17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104:C106" firstHeaderRow="1" firstDataRow="1" firstDataCol="1"/>
  <pivotFields count="2">
    <pivotField axis="axisRow" allDrilled="1" subtotalTop="0" showAll="0" dataSourceSort="1" defaultSubtotal="0" defaultAttributeDrillState="1">
      <items count="3">
        <item s="1" x="0"/>
        <item x="1"/>
        <item x="2"/>
      </items>
    </pivotField>
    <pivotField dataField="1" subtotalTop="0" showAll="0" defaultSubtotal="0"/>
  </pivotFields>
  <rowFields count="1">
    <field x="0"/>
  </rowFields>
  <rowItems count="2">
    <i>
      <x/>
    </i>
    <i t="grand">
      <x/>
    </i>
  </rowItems>
  <colItems count="1">
    <i/>
  </colItems>
  <dataFields count="1">
    <dataField name="Average of Job Card Utilization" fld="1" subtotal="average" baseField="0" baseItem="4" numFmtId="10"/>
  </dataFields>
  <formats count="6">
    <format dxfId="163">
      <pivotArea field="0" type="button" dataOnly="0" labelOnly="1" outline="0" axis="axisRow" fieldPosition="0"/>
    </format>
    <format dxfId="164">
      <pivotArea field="0" type="button" dataOnly="0" labelOnly="1" outline="0" axis="axisRow" fieldPosition="0"/>
    </format>
    <format dxfId="165">
      <pivotArea outline="0" collapsedLevelsAreSubtotals="1" fieldPosition="0"/>
    </format>
    <format dxfId="166">
      <pivotArea dataOnly="0" labelOnly="1" fieldPosition="0">
        <references count="1">
          <reference field="0" count="0"/>
        </references>
      </pivotArea>
    </format>
    <format dxfId="167">
      <pivotArea dataOnly="0" labelOnly="1" grandRow="1" outline="0" fieldPosition="0"/>
    </format>
    <format dxfId="16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F31C68-015C-41BE-842A-6906A94D3006}" name="PivotTable24" cacheId="17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80:F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Active Job Cards" fld="0" baseField="0" baseItem="0"/>
  </dataFields>
  <formats count="2">
    <format dxfId="171">
      <pivotArea outline="0" collapsedLevelsAreSubtotals="1" fieldPosition="0"/>
    </format>
    <format dxfId="172">
      <pivotArea dataOnly="0" labelOnly="1" grandRow="1" outline="0" fieldPosition="0"/>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GNREGA].[state_name].&amp;[UTTAR PRADE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E79213-EC9B-4D24-8358-3424D35362FF}" name="PivotTable23" cacheId="17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80:D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Workers" fld="0" baseField="0" baseItem="0"/>
  </dataFields>
  <formats count="2">
    <format dxfId="173">
      <pivotArea outline="0" collapsedLevelsAreSubtotals="1" fieldPosition="0"/>
    </format>
    <format dxfId="174">
      <pivotArea dataOnly="0" labelOnly="1" grandRow="1" outline="0" fieldPosition="0"/>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GNREGA].[state_name].&amp;[UTTAR PRADE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EDC93F-931D-4FA4-B1F8-5911D46FE3F9}" name="PivotTable2" cacheId="17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41:D43"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Sum of Total No. of JobCards issued" fld="1" baseField="0" baseItem="0"/>
    <dataField name="Sum of Total No. of Active Job Cards" fld="2" baseField="0" baseItem="0"/>
  </dataFields>
  <formats count="7">
    <format dxfId="177">
      <pivotArea field="0" type="button" dataOnly="0" labelOnly="1" outline="0" axis="axisRow" fieldPosition="0"/>
    </format>
    <format dxfId="178">
      <pivotArea dataOnly="0" labelOnly="1" outline="0" fieldPosition="0">
        <references count="1">
          <reference field="4294967294" count="2">
            <x v="0"/>
            <x v="1"/>
          </reference>
        </references>
      </pivotArea>
    </format>
    <format dxfId="179">
      <pivotArea field="0" type="button" dataOnly="0" labelOnly="1" outline="0" axis="axisRow" fieldPosition="0"/>
    </format>
    <format dxfId="180">
      <pivotArea dataOnly="0" labelOnly="1" outline="0" fieldPosition="0">
        <references count="1">
          <reference field="4294967294" count="2">
            <x v="0"/>
            <x v="1"/>
          </reference>
        </references>
      </pivotArea>
    </format>
    <format dxfId="181">
      <pivotArea outline="0" collapsedLevelsAreSubtotals="1" fieldPosition="0"/>
    </format>
    <format dxfId="182">
      <pivotArea dataOnly="0" labelOnly="1" fieldPosition="0">
        <references count="1">
          <reference field="0" count="0"/>
        </references>
      </pivotArea>
    </format>
    <format dxfId="183">
      <pivotArea dataOnly="0" labelOnly="1" grandRow="1" outline="0" fieldPosition="0"/>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DCD608-492B-49EF-81FE-155BE7C83932}" name="PivotTable1" cacheId="135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1:B35"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8"/>
    </i>
    <i>
      <x v="8"/>
    </i>
    <i>
      <x v="9"/>
    </i>
    <i>
      <x v="4"/>
    </i>
    <i>
      <x v="14"/>
    </i>
    <i>
      <x v="13"/>
    </i>
    <i>
      <x v="12"/>
    </i>
    <i>
      <x v="3"/>
    </i>
    <i>
      <x v="29"/>
    </i>
    <i>
      <x v="10"/>
    </i>
    <i>
      <x v="31"/>
    </i>
    <i>
      <x v="25"/>
    </i>
    <i>
      <x v="17"/>
    </i>
    <i>
      <x v="33"/>
    </i>
    <i>
      <x v="11"/>
    </i>
    <i>
      <x v="32"/>
    </i>
    <i>
      <x v="26"/>
    </i>
    <i>
      <x v="28"/>
    </i>
    <i>
      <x v="1"/>
    </i>
    <i>
      <x v="23"/>
    </i>
    <i>
      <x v="24"/>
    </i>
    <i>
      <x v="5"/>
    </i>
    <i>
      <x v="27"/>
    </i>
    <i>
      <x v="20"/>
    </i>
    <i>
      <x v="2"/>
    </i>
    <i>
      <x v="30"/>
    </i>
    <i>
      <x v="19"/>
    </i>
    <i>
      <x v="15"/>
    </i>
    <i>
      <x v="22"/>
    </i>
    <i>
      <x v="21"/>
    </i>
  </rowItems>
  <colItems count="1">
    <i/>
  </colItems>
  <dataFields count="1">
    <dataField name="Average of Job Card Utilization" fld="1" subtotal="average" baseField="0" baseItem="7" numFmtId="10"/>
  </dataFields>
  <formats count="6">
    <format dxfId="202">
      <pivotArea type="all" dataOnly="0" outline="0" fieldPosition="0"/>
    </format>
    <format dxfId="203">
      <pivotArea outline="0" collapsedLevelsAreSubtotals="1" fieldPosition="0"/>
    </format>
    <format dxfId="204">
      <pivotArea field="0" type="button" dataOnly="0" labelOnly="1" outline="0" axis="axisRow" fieldPosition="0"/>
    </format>
    <format dxfId="205">
      <pivotArea dataOnly="0" labelOnly="1" fieldPosition="0">
        <references count="1">
          <reference field="0" count="0"/>
        </references>
      </pivotArea>
    </format>
    <format dxfId="206">
      <pivotArea dataOnly="0" labelOnly="1" outline="0" fieldPosition="0">
        <references count="1">
          <reference field="4294967294" count="1">
            <x v="0"/>
          </reference>
        </references>
      </pivotArea>
    </format>
    <format dxfId="207">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JobCards issued"/>
    <pivotHierarchy dragToData="1" caption="Active Job Cards"/>
    <pivotHierarchy dragToData="1" caption="Job Card Utilization"/>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919364-76C2-4EFE-9CA7-686999FBE43B}" name="PivotTable28" cacheId="174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H84:J85"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1">
    <i>
      <x/>
    </i>
  </rowItems>
  <colFields count="1">
    <field x="-2"/>
  </colFields>
  <colItems count="2">
    <i>
      <x/>
    </i>
    <i i="1">
      <x v="1"/>
    </i>
  </colItems>
  <dataFields count="2">
    <dataField name="Job Card Utilization rate" fld="1" subtotal="average" baseField="0" baseItem="0"/>
    <dataField name="Worker Participation Rate" fld="2" subtotal="average" baseField="0" baseItem="0"/>
  </dataFields>
  <formats count="11">
    <format dxfId="146">
      <pivotArea field="0" type="button" dataOnly="0" labelOnly="1" outline="0" axis="axisRow" fieldPosition="0"/>
    </format>
    <format dxfId="147">
      <pivotArea field="0" type="button" dataOnly="0" labelOnly="1" outline="0" axis="axisRow" fieldPosition="0"/>
    </format>
    <format dxfId="148">
      <pivotArea outline="0" collapsedLevelsAreSubtotals="1" fieldPosition="0"/>
    </format>
    <format dxfId="149">
      <pivotArea dataOnly="0" labelOnly="1" fieldPosition="0">
        <references count="1">
          <reference field="0" count="0"/>
        </references>
      </pivotArea>
    </format>
    <format dxfId="150">
      <pivotArea dataOnly="0" labelOnly="1" grandRow="1" outline="0" fieldPosition="0"/>
    </format>
    <format dxfId="151">
      <pivotArea type="all" dataOnly="0" outline="0" fieldPosition="0"/>
    </format>
    <format dxfId="152">
      <pivotArea outline="0" collapsedLevelsAreSubtotals="1" fieldPosition="0"/>
    </format>
    <format dxfId="153">
      <pivotArea field="0" type="button" dataOnly="0" labelOnly="1" outline="0" axis="axisRow" fieldPosition="0"/>
    </format>
    <format dxfId="154">
      <pivotArea dataOnly="0" labelOnly="1" fieldPosition="0">
        <references count="1">
          <reference field="0" count="0"/>
        </references>
      </pivotArea>
    </format>
    <format dxfId="155">
      <pivotArea dataOnly="0" labelOnly="1" grandRow="1" outline="0" fieldPosition="0"/>
    </format>
    <format dxfId="156">
      <pivotArea dataOnly="0" labelOnly="1" outline="0" fieldPosition="0">
        <references count="1">
          <reference field="4294967294" count="2">
            <x v="0"/>
            <x v="1"/>
          </reference>
        </references>
      </pivotArea>
    </format>
  </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Worker Participation Rate"/>
    <pivotHierarchy dragToData="1" caption="Job Card Utiliz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84BCF3-A711-4C47-8040-50916FD336C7}" name="PivotTable3" cacheId="135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L1:N35" firstHeaderRow="0" firstDataRow="1" firstDataCol="1"/>
  <pivotFields count="3">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34">
    <i>
      <x v="6"/>
    </i>
    <i>
      <x v="16"/>
    </i>
    <i>
      <x v="7"/>
    </i>
    <i>
      <x/>
    </i>
    <i>
      <x v="15"/>
    </i>
    <i>
      <x v="24"/>
    </i>
    <i>
      <x v="27"/>
    </i>
    <i>
      <x v="21"/>
    </i>
    <i>
      <x v="2"/>
    </i>
    <i>
      <x v="22"/>
    </i>
    <i>
      <x v="19"/>
    </i>
    <i>
      <x v="20"/>
    </i>
    <i>
      <x v="9"/>
    </i>
    <i>
      <x v="30"/>
    </i>
    <i>
      <x v="32"/>
    </i>
    <i>
      <x v="10"/>
    </i>
    <i>
      <x v="11"/>
    </i>
    <i>
      <x v="25"/>
    </i>
    <i>
      <x v="8"/>
    </i>
    <i>
      <x v="14"/>
    </i>
    <i>
      <x v="5"/>
    </i>
    <i>
      <x v="12"/>
    </i>
    <i>
      <x v="29"/>
    </i>
    <i>
      <x v="18"/>
    </i>
    <i>
      <x v="3"/>
    </i>
    <i>
      <x v="13"/>
    </i>
    <i>
      <x v="23"/>
    </i>
    <i>
      <x v="1"/>
    </i>
    <i>
      <x v="17"/>
    </i>
    <i>
      <x v="28"/>
    </i>
    <i>
      <x v="4"/>
    </i>
    <i>
      <x v="26"/>
    </i>
    <i>
      <x v="33"/>
    </i>
    <i>
      <x v="31"/>
    </i>
  </rowItems>
  <colFields count="1">
    <field x="-2"/>
  </colFields>
  <colItems count="2">
    <i>
      <x/>
    </i>
    <i i="1">
      <x v="1"/>
    </i>
  </colItems>
  <dataFields count="2">
    <dataField name="No. of JobCards issued" fld="1" baseField="0" baseItem="6"/>
    <dataField name="Active Job Cards" fld="2" baseField="0" baseItem="6"/>
  </dataFields>
  <formats count="4">
    <format dxfId="208">
      <pivotArea type="all" dataOnly="0" outline="0" fieldPosition="0"/>
    </format>
    <format dxfId="209">
      <pivotArea outline="0" collapsedLevelsAreSubtotals="1" fieldPosition="0"/>
    </format>
    <format dxfId="210">
      <pivotArea field="0" type="button" dataOnly="0" labelOnly="1" outline="0" axis="axisRow" fieldPosition="0"/>
    </format>
    <format dxfId="211">
      <pivotArea dataOnly="0" labelOnly="1" fieldPosition="0">
        <references count="1">
          <reference field="0" count="0"/>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JobCards issued"/>
    <pivotHierarchy dragToData="1" caption="Active Job Cards"/>
    <pivotHierarchy dragToData="1" caption="Job Card Utilization"/>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52796D34-63FA-4F11-B155-7F8EB91F1D9E}" sourceName="[MGNREGA].[state_name]">
  <pivotTables>
    <pivotTable tabId="1" name="PivotTable2"/>
    <pivotTable tabId="1" name="PivotTable22"/>
    <pivotTable tabId="1" name="PivotTable23"/>
    <pivotTable tabId="1" name="PivotTable24"/>
    <pivotTable tabId="1" name="PivotTable25"/>
    <pivotTable tabId="1" name="PivotTable26"/>
    <pivotTable tabId="1" name="PivotTable27"/>
    <pivotTable tabId="1" name="PivotTable28"/>
  </pivotTables>
  <data>
    <olap pivotCacheId="730252661">
      <levels count="2">
        <level uniqueName="[MGNREGA].[state_name].[(All)]" sourceCaption="(All)" count="0"/>
        <level uniqueName="[MGNREGA].[state_name].[state_name]" sourceCaption="state_name" count="34">
          <ranges>
            <range startItem="0">
              <i n="[MGNREGA].[state_name].&amp;[ANDAMAN AND NICOBAR]" c="ANDAMAN AND NICOBAR"/>
              <i n="[MGNREGA].[state_name].&amp;[ANDHRA PRADESH]" c="ANDHRA PRADESH"/>
              <i n="[MGNREGA].[state_name].&amp;[ARUNACHAL PRADESH]" c="ARUNACHAL PRADESH"/>
              <i n="[MGNREGA].[state_name].&amp;[ASSAM]" c="ASSAM"/>
              <i n="[MGNREGA].[state_name].&amp;[BIHAR]" c="BIHAR"/>
              <i n="[MGNREGA].[state_name].&amp;[CHHATTISGARH]" c="CHHATTISGARH"/>
              <i n="[MGNREGA].[state_name].&amp;[DN HAVELI AND DD]" c="DN HAVELI AND DD"/>
              <i n="[MGNREGA].[state_name].&amp;[GOA]" c="GOA"/>
              <i n="[MGNREGA].[state_name].&amp;[GUJARAT]" c="GUJARAT"/>
              <i n="[MGNREGA].[state_name].&amp;[HARYANA]" c="HARYANA"/>
              <i n="[MGNREGA].[state_name].&amp;[HIMACHAL PRADESH]" c="HIMACHAL PRADESH"/>
              <i n="[MGNREGA].[state_name].&amp;[JAMMU AND KASHMIR]" c="JAMMU AND KASHMIR"/>
              <i n="[MGNREGA].[state_name].&amp;[JHARKHAND]" c="JHARKHAND"/>
              <i n="[MGNREGA].[state_name].&amp;[KARNATAKA]" c="KARNATAKA"/>
              <i n="[MGNREGA].[state_name].&amp;[KERALA]" c="KERALA"/>
              <i n="[MGNREGA].[state_name].&amp;[LADAKH]" c="LADAKH"/>
              <i n="[MGNREGA].[state_name].&amp;[LAKSHADWEEP]" c="LAKSHADWEEP"/>
              <i n="[MGNREGA].[state_name].&amp;[MADHYA PRADESH]" c="MADHYA PRADESH"/>
              <i n="[MGNREGA].[state_name].&amp;[MAHARASHTRA]" c="MAHARASHTRA"/>
              <i n="[MGNREGA].[state_name].&amp;[MANIPUR]" c="MANIPUR"/>
              <i n="[MGNREGA].[state_name].&amp;[MEGHALAYA]" c="MEGHALAYA"/>
              <i n="[MGNREGA].[state_name].&amp;[MIZORAM]" c="MIZORAM"/>
              <i n="[MGNREGA].[state_name].&amp;[NAGALAND]" c="NAGALAND"/>
              <i n="[MGNREGA].[state_name].&amp;[ODISHA]" c="ODISHA"/>
              <i n="[MGNREGA].[state_name].&amp;[PUDUCHERRY]" c="PUDUCHERRY"/>
              <i n="[MGNREGA].[state_name].&amp;[PUNJAB]" c="PUNJAB"/>
              <i n="[MGNREGA].[state_name].&amp;[RAJASTHAN]" c="RAJASTHAN"/>
              <i n="[MGNREGA].[state_name].&amp;[SIKKIM]" c="SIKKIM"/>
              <i n="[MGNREGA].[state_name].&amp;[TAMIL NADU]" c="TAMIL NADU"/>
              <i n="[MGNREGA].[state_name].&amp;[TELANGANA]" c="TELANGANA"/>
              <i n="[MGNREGA].[state_name].&amp;[TRIPURA]" c="TRIPURA"/>
              <i n="[MGNREGA].[state_name].&amp;[UTTAR PRADESH]" c="UTTAR PRADESH"/>
              <i n="[MGNREGA].[state_name].&amp;[UTTARAKHAND]" c="UTTARAKHAND"/>
              <i n="[MGNREGA].[state_name].&amp;[WEST BENGAL]" c="WEST BENGAL"/>
            </range>
          </ranges>
        </level>
      </levels>
      <selections count="1">
        <selection n="[MGNREGA].[state_name].&amp;[UTTAR PRADES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1" xr10:uid="{C6B49AF2-7314-4DCF-B5BC-CA11DD5E513B}" sourceName="[MGNREGA].[state_name]">
  <pivotTables>
    <pivotTable tabId="2" name="PivotTable3"/>
  </pivotTables>
  <data>
    <olap pivotCacheId="1249811768">
      <levels count="2">
        <level uniqueName="[MGNREGA].[state_name].[(All)]" sourceCaption="(All)" count="0"/>
        <level uniqueName="[MGNREGA].[state_name].[state_name]" sourceCaption="state_name" count="34">
          <ranges>
            <range startItem="0">
              <i n="[MGNREGA].[state_name].&amp;[ANDAMAN AND NICOBAR]" c="ANDAMAN AND NICOBAR"/>
              <i n="[MGNREGA].[state_name].&amp;[ANDHRA PRADESH]" c="ANDHRA PRADESH"/>
              <i n="[MGNREGA].[state_name].&amp;[ARUNACHAL PRADESH]" c="ARUNACHAL PRADESH"/>
              <i n="[MGNREGA].[state_name].&amp;[ASSAM]" c="ASSAM"/>
              <i n="[MGNREGA].[state_name].&amp;[BIHAR]" c="BIHAR"/>
              <i n="[MGNREGA].[state_name].&amp;[CHHATTISGARH]" c="CHHATTISGARH"/>
              <i n="[MGNREGA].[state_name].&amp;[DN HAVELI AND DD]" c="DN HAVELI AND DD"/>
              <i n="[MGNREGA].[state_name].&amp;[GOA]" c="GOA"/>
              <i n="[MGNREGA].[state_name].&amp;[GUJARAT]" c="GUJARAT"/>
              <i n="[MGNREGA].[state_name].&amp;[HARYANA]" c="HARYANA"/>
              <i n="[MGNREGA].[state_name].&amp;[HIMACHAL PRADESH]" c="HIMACHAL PRADESH"/>
              <i n="[MGNREGA].[state_name].&amp;[JAMMU AND KASHMIR]" c="JAMMU AND KASHMIR"/>
              <i n="[MGNREGA].[state_name].&amp;[JHARKHAND]" c="JHARKHAND"/>
              <i n="[MGNREGA].[state_name].&amp;[KARNATAKA]" c="KARNATAKA"/>
              <i n="[MGNREGA].[state_name].&amp;[KERALA]" c="KERALA"/>
              <i n="[MGNREGA].[state_name].&amp;[LADAKH]" c="LADAKH"/>
              <i n="[MGNREGA].[state_name].&amp;[LAKSHADWEEP]" c="LAKSHADWEEP"/>
              <i n="[MGNREGA].[state_name].&amp;[MADHYA PRADESH]" c="MADHYA PRADESH"/>
              <i n="[MGNREGA].[state_name].&amp;[MAHARASHTRA]" c="MAHARASHTRA"/>
              <i n="[MGNREGA].[state_name].&amp;[MANIPUR]" c="MANIPUR"/>
              <i n="[MGNREGA].[state_name].&amp;[MEGHALAYA]" c="MEGHALAYA"/>
              <i n="[MGNREGA].[state_name].&amp;[MIZORAM]" c="MIZORAM"/>
              <i n="[MGNREGA].[state_name].&amp;[NAGALAND]" c="NAGALAND"/>
              <i n="[MGNREGA].[state_name].&amp;[ODISHA]" c="ODISHA"/>
              <i n="[MGNREGA].[state_name].&amp;[PUDUCHERRY]" c="PUDUCHERRY"/>
              <i n="[MGNREGA].[state_name].&amp;[PUNJAB]" c="PUNJAB"/>
              <i n="[MGNREGA].[state_name].&amp;[RAJASTHAN]" c="RAJASTHAN"/>
              <i n="[MGNREGA].[state_name].&amp;[SIKKIM]" c="SIKKIM"/>
              <i n="[MGNREGA].[state_name].&amp;[TAMIL NADU]" c="TAMIL NADU"/>
              <i n="[MGNREGA].[state_name].&amp;[TELANGANA]" c="TELANGANA"/>
              <i n="[MGNREGA].[state_name].&amp;[TRIPURA]" c="TRIPURA"/>
              <i n="[MGNREGA].[state_name].&amp;[UTTAR PRADESH]" c="UTTAR PRADESH"/>
              <i n="[MGNREGA].[state_name].&amp;[UTTARAKHAND]" c="UTTARAKHAND"/>
              <i n="[MGNREGA].[state_name].&amp;[WEST BENGAL]" c="WEST BENGAL"/>
            </range>
          </ranges>
        </level>
      </levels>
      <selections count="1">
        <selection n="[MGNREGA].[state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2" xr10:uid="{B53E8BA6-4F04-45E7-A82A-B0B354439A3C}" sourceName="[MGNREGA].[state_name]">
  <pivotTables>
    <pivotTable tabId="3" name="PivotTable1"/>
    <pivotTable tabId="3" name="PivotTable28"/>
  </pivotTables>
  <data>
    <olap pivotCacheId="754610795">
      <levels count="2">
        <level uniqueName="[MGNREGA].[state_name].[(All)]" sourceCaption="(All)" count="0"/>
        <level uniqueName="[MGNREGA].[state_name].[state_name]" sourceCaption="state_name" count="34">
          <ranges>
            <range startItem="0">
              <i n="[MGNREGA].[state_name].&amp;[ANDAMAN AND NICOBAR]" c="ANDAMAN AND NICOBAR"/>
              <i n="[MGNREGA].[state_name].&amp;[ANDHRA PRADESH]" c="ANDHRA PRADESH"/>
              <i n="[MGNREGA].[state_name].&amp;[ARUNACHAL PRADESH]" c="ARUNACHAL PRADESH"/>
              <i n="[MGNREGA].[state_name].&amp;[ASSAM]" c="ASSAM"/>
              <i n="[MGNREGA].[state_name].&amp;[BIHAR]" c="BIHAR"/>
              <i n="[MGNREGA].[state_name].&amp;[CHHATTISGARH]" c="CHHATTISGARH"/>
              <i n="[MGNREGA].[state_name].&amp;[DN HAVELI AND DD]" c="DN HAVELI AND DD"/>
              <i n="[MGNREGA].[state_name].&amp;[GOA]" c="GOA"/>
              <i n="[MGNREGA].[state_name].&amp;[GUJARAT]" c="GUJARAT"/>
              <i n="[MGNREGA].[state_name].&amp;[HARYANA]" c="HARYANA"/>
              <i n="[MGNREGA].[state_name].&amp;[HIMACHAL PRADESH]" c="HIMACHAL PRADESH"/>
              <i n="[MGNREGA].[state_name].&amp;[JAMMU AND KASHMIR]" c="JAMMU AND KASHMIR"/>
              <i n="[MGNREGA].[state_name].&amp;[JHARKHAND]" c="JHARKHAND"/>
              <i n="[MGNREGA].[state_name].&amp;[KARNATAKA]" c="KARNATAKA"/>
              <i n="[MGNREGA].[state_name].&amp;[KERALA]" c="KERALA"/>
              <i n="[MGNREGA].[state_name].&amp;[LADAKH]" c="LADAKH"/>
              <i n="[MGNREGA].[state_name].&amp;[LAKSHADWEEP]" c="LAKSHADWEEP"/>
              <i n="[MGNREGA].[state_name].&amp;[MADHYA PRADESH]" c="MADHYA PRADESH"/>
              <i n="[MGNREGA].[state_name].&amp;[MAHARASHTRA]" c="MAHARASHTRA"/>
              <i n="[MGNREGA].[state_name].&amp;[MANIPUR]" c="MANIPUR"/>
              <i n="[MGNREGA].[state_name].&amp;[MEGHALAYA]" c="MEGHALAYA"/>
              <i n="[MGNREGA].[state_name].&amp;[MIZORAM]" c="MIZORAM"/>
              <i n="[MGNREGA].[state_name].&amp;[NAGALAND]" c="NAGALAND"/>
              <i n="[MGNREGA].[state_name].&amp;[ODISHA]" c="ODISHA"/>
              <i n="[MGNREGA].[state_name].&amp;[PUDUCHERRY]" c="PUDUCHERRY"/>
              <i n="[MGNREGA].[state_name].&amp;[PUNJAB]" c="PUNJAB"/>
              <i n="[MGNREGA].[state_name].&amp;[RAJASTHAN]" c="RAJASTHAN"/>
              <i n="[MGNREGA].[state_name].&amp;[SIKKIM]" c="SIKKIM"/>
              <i n="[MGNREGA].[state_name].&amp;[TAMIL NADU]" c="TAMIL NADU"/>
              <i n="[MGNREGA].[state_name].&amp;[TELANGANA]" c="TELANGANA"/>
              <i n="[MGNREGA].[state_name].&amp;[TRIPURA]" c="TRIPURA"/>
              <i n="[MGNREGA].[state_name].&amp;[UTTAR PRADESH]" c="UTTAR PRADESH"/>
              <i n="[MGNREGA].[state_name].&amp;[UTTARAKHAND]" c="UTTARAKHAND"/>
              <i n="[MGNREGA].[state_name].&amp;[WEST BENGAL]" c="WEST BENGAL"/>
            </range>
          </ranges>
        </level>
      </levels>
      <selections count="1">
        <selection n="[MGNREGA].[state_name].&amp;[RAJAST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64D087BB-4A46-4DF1-B750-B3A13B7A7E54}" cache="Slicer_state_name" caption="state_name" level="1"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1" xr10:uid="{1730229F-40C2-492D-AA80-E66B7900E26E}" cache="Slicer_state_name" caption="States" level="1" style="SlicerStyleOther2"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2" xr10:uid="{F3D1DFE0-40CA-4724-B513-F59396A960B3}" cache="Slicer_state_name1" caption="state_name" level="1"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3" xr10:uid="{3C43F5FF-82A6-4079-B327-CA674CF6110C}" cache="Slicer_state_name" caption="States" startItem="20" level="1"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4" xr10:uid="{F60C49D6-BF78-422C-9C95-0DFF66A0EDC9}" cache="Slicer_state_name2" caption="state_name" level="1"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6" xr10:uid="{4C501947-CE0C-49D0-9CCF-36082FF56C12}" cache="Slicer_state_name2" caption="state_name" level="1"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5.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FF8F-DA38-4F4C-8642-5199D52769E7}">
  <dimension ref="A1:A21"/>
  <sheetViews>
    <sheetView tabSelected="1" topLeftCell="A4" workbookViewId="0">
      <selection activeCell="H4" sqref="H4"/>
    </sheetView>
  </sheetViews>
  <sheetFormatPr defaultRowHeight="22.9" x14ac:dyDescent="1.25"/>
  <sheetData>
    <row r="1" spans="1:1" ht="26.25" x14ac:dyDescent="1.25">
      <c r="A1" s="22" t="s">
        <v>79</v>
      </c>
    </row>
    <row r="3" spans="1:1" x14ac:dyDescent="1.25">
      <c r="A3" s="23" t="s">
        <v>80</v>
      </c>
    </row>
    <row r="5" spans="1:1" x14ac:dyDescent="1.25">
      <c r="A5" s="24" t="s">
        <v>91</v>
      </c>
    </row>
    <row r="6" spans="1:1" x14ac:dyDescent="1.25">
      <c r="A6" s="25" t="s">
        <v>92</v>
      </c>
    </row>
    <row r="7" spans="1:1" x14ac:dyDescent="1.25">
      <c r="A7" s="36" t="s">
        <v>110</v>
      </c>
    </row>
    <row r="8" spans="1:1" x14ac:dyDescent="1.25">
      <c r="A8" t="s">
        <v>81</v>
      </c>
    </row>
    <row r="9" spans="1:1" x14ac:dyDescent="1.25">
      <c r="A9" t="s">
        <v>82</v>
      </c>
    </row>
    <row r="11" spans="1:1" x14ac:dyDescent="1.25">
      <c r="A11" s="23" t="s">
        <v>83</v>
      </c>
    </row>
    <row r="13" spans="1:1" x14ac:dyDescent="1.25">
      <c r="A13" t="s">
        <v>84</v>
      </c>
    </row>
    <row r="14" spans="1:1" x14ac:dyDescent="1.25">
      <c r="A14" t="s">
        <v>85</v>
      </c>
    </row>
    <row r="15" spans="1:1" x14ac:dyDescent="1.25">
      <c r="A15" t="s">
        <v>86</v>
      </c>
    </row>
    <row r="17" spans="1:1" x14ac:dyDescent="1.25">
      <c r="A17" s="23" t="s">
        <v>87</v>
      </c>
    </row>
    <row r="19" spans="1:1" x14ac:dyDescent="1.25">
      <c r="A19" t="s">
        <v>88</v>
      </c>
    </row>
    <row r="20" spans="1:1" x14ac:dyDescent="1.25">
      <c r="A20" t="s">
        <v>89</v>
      </c>
    </row>
    <row r="21" spans="1:1" x14ac:dyDescent="1.25">
      <c r="A21"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EB8F-6261-4E18-AAAC-4222EB681E7E}">
  <dimension ref="A1:N118"/>
  <sheetViews>
    <sheetView topLeftCell="G1" zoomScale="56" zoomScaleNormal="255" workbookViewId="0">
      <selection activeCell="F39" sqref="F39"/>
    </sheetView>
  </sheetViews>
  <sheetFormatPr defaultRowHeight="22.9" x14ac:dyDescent="1.25"/>
  <cols>
    <col min="1" max="1" width="21.546875" bestFit="1" customWidth="1"/>
    <col min="2" max="2" width="13.19921875" bestFit="1" customWidth="1"/>
    <col min="3" max="3" width="26.3984375" bestFit="1" customWidth="1"/>
    <col min="4" max="4" width="23.44921875" bestFit="1" customWidth="1"/>
    <col min="5" max="5" width="23.69921875" bestFit="1" customWidth="1"/>
    <col min="6" max="6" width="30.5" bestFit="1" customWidth="1"/>
    <col min="8" max="8" width="13.19921875" bestFit="1" customWidth="1"/>
    <col min="9" max="9" width="20.69921875" bestFit="1" customWidth="1"/>
    <col min="10" max="10" width="22.19921875" bestFit="1" customWidth="1"/>
    <col min="12" max="12" width="21.546875" bestFit="1" customWidth="1"/>
    <col min="13" max="13" width="18.8984375" bestFit="1" customWidth="1"/>
    <col min="14" max="14" width="14.046875" bestFit="1" customWidth="1"/>
  </cols>
  <sheetData>
    <row r="1" spans="1:14" x14ac:dyDescent="1.25">
      <c r="A1" s="10" t="s">
        <v>0</v>
      </c>
      <c r="B1" s="11" t="s">
        <v>38</v>
      </c>
      <c r="L1" s="10" t="s">
        <v>0</v>
      </c>
      <c r="M1" s="11" t="s">
        <v>36</v>
      </c>
      <c r="N1" s="11" t="s">
        <v>37</v>
      </c>
    </row>
    <row r="2" spans="1:14" x14ac:dyDescent="1.25">
      <c r="A2" s="12" t="s">
        <v>7</v>
      </c>
      <c r="B2" s="13">
        <v>4.7294740824820297E-5</v>
      </c>
      <c r="L2" s="12" t="s">
        <v>7</v>
      </c>
      <c r="M2" s="31">
        <v>84576</v>
      </c>
      <c r="N2" s="31">
        <v>4</v>
      </c>
    </row>
    <row r="3" spans="1:14" x14ac:dyDescent="1.25">
      <c r="A3" s="12" t="s">
        <v>17</v>
      </c>
      <c r="B3" s="13">
        <v>2.5460518596738198E-2</v>
      </c>
      <c r="L3" s="12" t="s">
        <v>17</v>
      </c>
      <c r="M3" s="31">
        <v>34092</v>
      </c>
      <c r="N3" s="31">
        <v>868</v>
      </c>
    </row>
    <row r="4" spans="1:14" x14ac:dyDescent="1.25">
      <c r="A4" s="12" t="s">
        <v>8</v>
      </c>
      <c r="B4" s="13">
        <v>0.18584594973953397</v>
      </c>
      <c r="L4" s="12" t="s">
        <v>8</v>
      </c>
      <c r="M4" s="31">
        <v>157628</v>
      </c>
      <c r="N4" s="31">
        <v>29244</v>
      </c>
    </row>
    <row r="5" spans="1:14" x14ac:dyDescent="1.25">
      <c r="A5" s="12" t="s">
        <v>1</v>
      </c>
      <c r="B5" s="13">
        <v>0.25400102377002803</v>
      </c>
      <c r="L5" s="12" t="s">
        <v>1</v>
      </c>
      <c r="M5" s="31">
        <v>153680</v>
      </c>
      <c r="N5" s="31">
        <v>43616</v>
      </c>
    </row>
    <row r="6" spans="1:14" x14ac:dyDescent="1.25">
      <c r="A6" s="12" t="s">
        <v>19</v>
      </c>
      <c r="B6" s="13">
        <v>0.28525598064653274</v>
      </c>
      <c r="L6" s="12" t="s">
        <v>16</v>
      </c>
      <c r="M6" s="31">
        <v>150832</v>
      </c>
      <c r="N6" s="31">
        <v>144956</v>
      </c>
    </row>
    <row r="7" spans="1:14" x14ac:dyDescent="1.25">
      <c r="A7" s="12" t="s">
        <v>9</v>
      </c>
      <c r="B7" s="13">
        <v>0.39477842382338746</v>
      </c>
      <c r="L7" s="12" t="s">
        <v>25</v>
      </c>
      <c r="M7" s="31">
        <v>295704</v>
      </c>
      <c r="N7" s="31">
        <v>236076</v>
      </c>
    </row>
    <row r="8" spans="1:14" x14ac:dyDescent="1.25">
      <c r="A8" s="12" t="s">
        <v>10</v>
      </c>
      <c r="B8" s="13">
        <v>0.45576909670390275</v>
      </c>
      <c r="L8" s="12" t="s">
        <v>28</v>
      </c>
      <c r="M8" s="31">
        <v>354740</v>
      </c>
      <c r="N8" s="31">
        <v>297876</v>
      </c>
    </row>
    <row r="9" spans="1:14" x14ac:dyDescent="1.25">
      <c r="A9" s="12" t="s">
        <v>5</v>
      </c>
      <c r="B9" s="13">
        <v>0.49619103709512136</v>
      </c>
      <c r="L9" s="12" t="s">
        <v>22</v>
      </c>
      <c r="M9" s="31">
        <v>907976</v>
      </c>
      <c r="N9" s="31">
        <v>863540</v>
      </c>
    </row>
    <row r="10" spans="1:14" x14ac:dyDescent="1.25">
      <c r="A10" s="12" t="s">
        <v>15</v>
      </c>
      <c r="B10" s="13">
        <v>0.50673166466486885</v>
      </c>
      <c r="L10" s="12" t="s">
        <v>3</v>
      </c>
      <c r="M10" s="31">
        <v>1272260</v>
      </c>
      <c r="N10" s="31">
        <v>1177232</v>
      </c>
    </row>
    <row r="11" spans="1:14" x14ac:dyDescent="1.25">
      <c r="A11" s="12" t="s">
        <v>14</v>
      </c>
      <c r="B11" s="13">
        <v>0.54514756973382139</v>
      </c>
      <c r="L11" s="12" t="s">
        <v>23</v>
      </c>
      <c r="M11" s="31">
        <v>1873280</v>
      </c>
      <c r="N11" s="31">
        <v>1811904</v>
      </c>
    </row>
    <row r="12" spans="1:14" x14ac:dyDescent="1.25">
      <c r="A12" s="12" t="s">
        <v>13</v>
      </c>
      <c r="B12" s="13">
        <v>0.55401575913161816</v>
      </c>
      <c r="L12" s="12" t="s">
        <v>20</v>
      </c>
      <c r="M12" s="31">
        <v>2426784</v>
      </c>
      <c r="N12" s="31">
        <v>2313964</v>
      </c>
    </row>
    <row r="13" spans="1:14" x14ac:dyDescent="1.25">
      <c r="A13" s="12" t="s">
        <v>4</v>
      </c>
      <c r="B13" s="13">
        <v>0.59604861181269253</v>
      </c>
      <c r="L13" s="12" t="s">
        <v>21</v>
      </c>
      <c r="M13" s="31">
        <v>2658660</v>
      </c>
      <c r="N13" s="31">
        <v>2399972</v>
      </c>
    </row>
    <row r="14" spans="1:14" x14ac:dyDescent="1.25">
      <c r="A14" s="12" t="s">
        <v>30</v>
      </c>
      <c r="B14" s="13">
        <v>0.62653813180719808</v>
      </c>
      <c r="L14" s="12" t="s">
        <v>10</v>
      </c>
      <c r="M14" s="31">
        <v>5213516</v>
      </c>
      <c r="N14" s="31">
        <v>2559312</v>
      </c>
    </row>
    <row r="15" spans="1:14" x14ac:dyDescent="1.25">
      <c r="A15" s="12" t="s">
        <v>11</v>
      </c>
      <c r="B15" s="13">
        <v>0.62699047187380452</v>
      </c>
      <c r="L15" s="12" t="s">
        <v>31</v>
      </c>
      <c r="M15" s="31">
        <v>2727944</v>
      </c>
      <c r="N15" s="31">
        <v>2572364</v>
      </c>
    </row>
    <row r="16" spans="1:14" x14ac:dyDescent="1.25">
      <c r="A16" s="12" t="s">
        <v>32</v>
      </c>
      <c r="B16" s="13">
        <v>0.64894579397138952</v>
      </c>
      <c r="L16" s="12" t="s">
        <v>33</v>
      </c>
      <c r="M16" s="31">
        <v>4348920</v>
      </c>
      <c r="N16" s="31">
        <v>3167188</v>
      </c>
    </row>
    <row r="17" spans="1:14" x14ac:dyDescent="1.25">
      <c r="A17" s="12" t="s">
        <v>26</v>
      </c>
      <c r="B17" s="13">
        <v>0.64979740881171733</v>
      </c>
      <c r="L17" s="12" t="s">
        <v>11</v>
      </c>
      <c r="M17" s="31">
        <v>5979720</v>
      </c>
      <c r="N17" s="31">
        <v>3733172</v>
      </c>
    </row>
    <row r="18" spans="1:14" x14ac:dyDescent="1.25">
      <c r="A18" s="12" t="s">
        <v>18</v>
      </c>
      <c r="B18" s="13">
        <v>0.70139374465604942</v>
      </c>
      <c r="L18" s="12" t="s">
        <v>12</v>
      </c>
      <c r="M18" s="31">
        <v>5591704</v>
      </c>
      <c r="N18" s="31">
        <v>4091608</v>
      </c>
    </row>
    <row r="19" spans="1:14" x14ac:dyDescent="1.25">
      <c r="A19" s="12" t="s">
        <v>34</v>
      </c>
      <c r="B19" s="13">
        <v>0.70206571861720857</v>
      </c>
      <c r="L19" s="12" t="s">
        <v>26</v>
      </c>
      <c r="M19" s="31">
        <v>7273748</v>
      </c>
      <c r="N19" s="31">
        <v>4735892</v>
      </c>
    </row>
    <row r="20" spans="1:14" x14ac:dyDescent="1.25">
      <c r="A20" s="12" t="s">
        <v>12</v>
      </c>
      <c r="B20" s="13">
        <v>0.70730986930874595</v>
      </c>
      <c r="L20" s="12" t="s">
        <v>9</v>
      </c>
      <c r="M20" s="31">
        <v>17936212</v>
      </c>
      <c r="N20" s="31">
        <v>7191908</v>
      </c>
    </row>
    <row r="21" spans="1:14" x14ac:dyDescent="1.25">
      <c r="A21" s="12" t="s">
        <v>33</v>
      </c>
      <c r="B21" s="13">
        <v>0.73226344650000708</v>
      </c>
      <c r="L21" s="12" t="s">
        <v>15</v>
      </c>
      <c r="M21" s="31">
        <v>16697276</v>
      </c>
      <c r="N21" s="31">
        <v>8385828</v>
      </c>
    </row>
    <row r="22" spans="1:14" x14ac:dyDescent="1.25">
      <c r="A22" s="12" t="s">
        <v>27</v>
      </c>
      <c r="B22" s="13">
        <v>0.75615989089855562</v>
      </c>
      <c r="L22" s="12" t="s">
        <v>6</v>
      </c>
      <c r="M22" s="31">
        <v>15871996</v>
      </c>
      <c r="N22" s="31">
        <v>13160208</v>
      </c>
    </row>
    <row r="23" spans="1:14" x14ac:dyDescent="1.25">
      <c r="A23" s="12" t="s">
        <v>29</v>
      </c>
      <c r="B23" s="13">
        <v>0.78091951908215029</v>
      </c>
      <c r="L23" s="12" t="s">
        <v>13</v>
      </c>
      <c r="M23" s="31">
        <v>25302696</v>
      </c>
      <c r="N23" s="31">
        <v>13875728</v>
      </c>
    </row>
    <row r="24" spans="1:14" x14ac:dyDescent="1.25">
      <c r="A24" s="12" t="s">
        <v>2</v>
      </c>
      <c r="B24" s="13">
        <v>0.78336065124088594</v>
      </c>
      <c r="L24" s="12" t="s">
        <v>30</v>
      </c>
      <c r="M24" s="31">
        <v>22362800</v>
      </c>
      <c r="N24" s="31">
        <v>14127744</v>
      </c>
    </row>
    <row r="25" spans="1:14" x14ac:dyDescent="1.25">
      <c r="A25" s="12" t="s">
        <v>24</v>
      </c>
      <c r="B25" s="13">
        <v>0.78801446332385083</v>
      </c>
      <c r="L25" s="12" t="s">
        <v>19</v>
      </c>
      <c r="M25" s="31">
        <v>52867668</v>
      </c>
      <c r="N25" s="31">
        <v>14480904</v>
      </c>
    </row>
    <row r="26" spans="1:14" x14ac:dyDescent="1.25">
      <c r="A26" s="12" t="s">
        <v>25</v>
      </c>
      <c r="B26" s="13">
        <v>0.81754245434591022</v>
      </c>
      <c r="L26" s="12" t="s">
        <v>4</v>
      </c>
      <c r="M26" s="31">
        <v>28186052</v>
      </c>
      <c r="N26" s="31">
        <v>16736108</v>
      </c>
    </row>
    <row r="27" spans="1:14" x14ac:dyDescent="1.25">
      <c r="A27" s="12" t="s">
        <v>6</v>
      </c>
      <c r="B27" s="13">
        <v>0.84041476151943117</v>
      </c>
      <c r="L27" s="12" t="s">
        <v>14</v>
      </c>
      <c r="M27" s="31">
        <v>32048480</v>
      </c>
      <c r="N27" s="31">
        <v>17930288</v>
      </c>
    </row>
    <row r="28" spans="1:14" x14ac:dyDescent="1.25">
      <c r="A28" s="12" t="s">
        <v>28</v>
      </c>
      <c r="B28" s="13">
        <v>0.84407704102044068</v>
      </c>
      <c r="L28" s="12" t="s">
        <v>24</v>
      </c>
      <c r="M28" s="31">
        <v>23124780</v>
      </c>
      <c r="N28" s="31">
        <v>18426616</v>
      </c>
    </row>
    <row r="29" spans="1:14" x14ac:dyDescent="1.25">
      <c r="A29" s="12" t="s">
        <v>21</v>
      </c>
      <c r="B29" s="13">
        <v>0.91050641556958878</v>
      </c>
      <c r="L29" s="12" t="s">
        <v>2</v>
      </c>
      <c r="M29" s="31">
        <v>28680204</v>
      </c>
      <c r="N29" s="31">
        <v>22721336</v>
      </c>
    </row>
    <row r="30" spans="1:14" x14ac:dyDescent="1.25">
      <c r="A30" s="12" t="s">
        <v>3</v>
      </c>
      <c r="B30" s="13">
        <v>0.92404721701119064</v>
      </c>
      <c r="L30" s="12" t="s">
        <v>18</v>
      </c>
      <c r="M30" s="31">
        <v>36354320</v>
      </c>
      <c r="N30" s="31">
        <v>25953320</v>
      </c>
    </row>
    <row r="31" spans="1:14" x14ac:dyDescent="1.25">
      <c r="A31" s="12" t="s">
        <v>31</v>
      </c>
      <c r="B31" s="13">
        <v>0.94271156825097058</v>
      </c>
      <c r="L31" s="12" t="s">
        <v>29</v>
      </c>
      <c r="M31" s="31">
        <v>37733468</v>
      </c>
      <c r="N31" s="31">
        <v>30199704</v>
      </c>
    </row>
    <row r="32" spans="1:14" x14ac:dyDescent="1.25">
      <c r="A32" s="12" t="s">
        <v>20</v>
      </c>
      <c r="B32" s="13">
        <v>0.95418825344133973</v>
      </c>
      <c r="L32" s="12" t="s">
        <v>5</v>
      </c>
      <c r="M32" s="31">
        <v>71949380</v>
      </c>
      <c r="N32" s="31">
        <v>34044508</v>
      </c>
    </row>
    <row r="33" spans="1:14" x14ac:dyDescent="1.25">
      <c r="A33" s="12" t="s">
        <v>16</v>
      </c>
      <c r="B33" s="13">
        <v>0.95956056936844214</v>
      </c>
      <c r="L33" s="12" t="s">
        <v>27</v>
      </c>
      <c r="M33" s="31">
        <v>46248232</v>
      </c>
      <c r="N33" s="31">
        <v>35534924</v>
      </c>
    </row>
    <row r="34" spans="1:14" x14ac:dyDescent="1.25">
      <c r="A34" s="12" t="s">
        <v>23</v>
      </c>
      <c r="B34" s="13">
        <v>0.96645026288679214</v>
      </c>
      <c r="L34" s="12" t="s">
        <v>34</v>
      </c>
      <c r="M34" s="31">
        <v>54875940</v>
      </c>
      <c r="N34" s="31">
        <v>37064112</v>
      </c>
    </row>
    <row r="35" spans="1:14" x14ac:dyDescent="1.25">
      <c r="A35" s="12" t="s">
        <v>22</v>
      </c>
      <c r="B35" s="13">
        <v>0.97069215132352415</v>
      </c>
      <c r="L35" s="12" t="s">
        <v>32</v>
      </c>
      <c r="M35" s="31">
        <v>71241956</v>
      </c>
      <c r="N35" s="31">
        <v>48181372</v>
      </c>
    </row>
    <row r="41" spans="1:14" x14ac:dyDescent="1.25">
      <c r="B41" s="5" t="s">
        <v>0</v>
      </c>
      <c r="C41" s="5" t="s">
        <v>52</v>
      </c>
      <c r="D41" s="5" t="s">
        <v>54</v>
      </c>
      <c r="H41" s="6" t="s">
        <v>53</v>
      </c>
      <c r="I41" s="6" t="s">
        <v>57</v>
      </c>
      <c r="J41" s="6" t="s">
        <v>58</v>
      </c>
    </row>
    <row r="42" spans="1:14" x14ac:dyDescent="1.25">
      <c r="B42" s="7" t="s">
        <v>32</v>
      </c>
      <c r="C42" s="32">
        <v>71241956</v>
      </c>
      <c r="D42" s="32">
        <v>48181372</v>
      </c>
      <c r="H42" s="7" t="s">
        <v>1</v>
      </c>
      <c r="I42" s="6" t="e">
        <f>GETPIVOTDATA("[Measures].[Sum of Total No. of JobCards issued]",$B$41,"[MGNREGA].[state_name]","[MGNREGA].[state_name].&amp;[ANDAMAN AND NICOBAR]")</f>
        <v>#REF!</v>
      </c>
      <c r="J42" s="6" t="e">
        <f>GETPIVOTDATA("[Measures].[Sum of Total No. of Active Job Cards]",$B$41,"[MGNREGA].[state_name]","[MGNREGA].[state_name].&amp;[ANDAMAN AND NICOBAR]")</f>
        <v>#REF!</v>
      </c>
    </row>
    <row r="43" spans="1:14" x14ac:dyDescent="1.25">
      <c r="B43" s="7" t="s">
        <v>35</v>
      </c>
      <c r="C43" s="32">
        <v>71241956</v>
      </c>
      <c r="D43" s="32">
        <v>48181372</v>
      </c>
      <c r="H43" s="7" t="s">
        <v>2</v>
      </c>
      <c r="I43" s="6" t="e">
        <f>GETPIVOTDATA("[Measures].[Sum of Total No. of JobCards issued]",$B$41,"[MGNREGA].[state_name]","[MGNREGA].[state_name].&amp;[ANDHRA PRADESH]")</f>
        <v>#REF!</v>
      </c>
      <c r="J43" s="6" t="e">
        <f>GETPIVOTDATA("[Measures].[Sum of Total No. of Active Job Cards]",$B$41,"[MGNREGA].[state_name]","[MGNREGA].[state_name].&amp;[ANDHRA PRADESH]")</f>
        <v>#REF!</v>
      </c>
    </row>
    <row r="44" spans="1:14" x14ac:dyDescent="1.25">
      <c r="H44" s="7" t="s">
        <v>3</v>
      </c>
      <c r="I44" s="6" t="e">
        <f>GETPIVOTDATA("[Measures].[Sum of Total No. of JobCards issued]",$B$41,"[MGNREGA].[state_name]","[MGNREGA].[state_name].&amp;[ARUNACHAL PRADESH]")</f>
        <v>#REF!</v>
      </c>
      <c r="J44" s="6" t="e">
        <f>GETPIVOTDATA("[Measures].[Sum of Total No. of Active Job Cards]",$B$41,"[MGNREGA].[state_name]","[MGNREGA].[state_name].&amp;[ARUNACHAL PRADESH]")</f>
        <v>#REF!</v>
      </c>
    </row>
    <row r="45" spans="1:14" x14ac:dyDescent="1.25">
      <c r="H45" s="7" t="s">
        <v>4</v>
      </c>
      <c r="I45" s="6" t="e">
        <f>GETPIVOTDATA("[Measures].[Sum of Total No. of JobCards issued]",$B$41,"[MGNREGA].[state_name]","[MGNREGA].[state_name].&amp;[ASSAM]")</f>
        <v>#REF!</v>
      </c>
      <c r="J45" s="6" t="e">
        <f>GETPIVOTDATA("[Measures].[Sum of Total No. of Active Job Cards]",$B$41,"[MGNREGA].[state_name]","[MGNREGA].[state_name].&amp;[ASSAM]")</f>
        <v>#REF!</v>
      </c>
    </row>
    <row r="46" spans="1:14" x14ac:dyDescent="1.25">
      <c r="H46" s="7" t="s">
        <v>5</v>
      </c>
      <c r="I46" s="6" t="e">
        <f>GETPIVOTDATA("[Measures].[Sum of Total No. of JobCards issued]",$B$41,"[MGNREGA].[state_name]","[MGNREGA].[state_name].&amp;[BIHAR]")</f>
        <v>#REF!</v>
      </c>
      <c r="J46" s="6" t="e">
        <f>GETPIVOTDATA("[Measures].[Sum of Total No. of Active Job Cards]",$B$41,"[MGNREGA].[state_name]","[MGNREGA].[state_name].&amp;[BIHAR]")</f>
        <v>#REF!</v>
      </c>
    </row>
    <row r="47" spans="1:14" x14ac:dyDescent="1.25">
      <c r="H47" s="7" t="s">
        <v>6</v>
      </c>
      <c r="I47" s="6" t="e">
        <f>GETPIVOTDATA("[Measures].[Sum of Total No. of JobCards issued]",$B$41,"[MGNREGA].[state_name]","[MGNREGA].[state_name].&amp;[CHHATTISGARH]")</f>
        <v>#REF!</v>
      </c>
      <c r="J47" s="6" t="e">
        <f>GETPIVOTDATA("[Measures].[Sum of Total No. of Active Job Cards]",$B$41,"[MGNREGA].[state_name]","[MGNREGA].[state_name].&amp;[CHHATTISGARH]")</f>
        <v>#REF!</v>
      </c>
    </row>
    <row r="48" spans="1:14" x14ac:dyDescent="1.25">
      <c r="H48" s="7" t="s">
        <v>8</v>
      </c>
      <c r="I48" s="6" t="e">
        <f>GETPIVOTDATA("[Measures].[Sum of Total No. of JobCards issued]",$B$41,"[MGNREGA].[state_name]","[MGNREGA].[state_name].&amp;[GOA]")</f>
        <v>#REF!</v>
      </c>
      <c r="J48" s="6" t="e">
        <f>GETPIVOTDATA("[Measures].[Sum of Total No. of Active Job Cards]",$B$41,"[MGNREGA].[state_name]","[MGNREGA].[state_name].&amp;[GOA]")</f>
        <v>#REF!</v>
      </c>
    </row>
    <row r="49" spans="8:10" x14ac:dyDescent="1.25">
      <c r="H49" s="7" t="s">
        <v>9</v>
      </c>
      <c r="I49" s="6" t="e">
        <f>GETPIVOTDATA("[Measures].[Sum of Total No. of JobCards issued]",$B$41,"[MGNREGA].[state_name]","[MGNREGA].[state_name].&amp;[GUJARAT]")</f>
        <v>#REF!</v>
      </c>
      <c r="J49" s="6" t="e">
        <f>GETPIVOTDATA("[Measures].[Sum of Total No. of Active Job Cards]",$B$41,"[MGNREGA].[state_name]","[MGNREGA].[state_name].&amp;[GUJARAT]")</f>
        <v>#REF!</v>
      </c>
    </row>
    <row r="50" spans="8:10" x14ac:dyDescent="1.25">
      <c r="H50" s="7" t="s">
        <v>10</v>
      </c>
      <c r="I50" s="6" t="e">
        <f>GETPIVOTDATA("[Measures].[Sum of Total No. of JobCards issued]",$B$41,"[MGNREGA].[state_name]","[MGNREGA].[state_name].&amp;[HARYANA]")</f>
        <v>#REF!</v>
      </c>
      <c r="J50" s="6" t="e">
        <f>GETPIVOTDATA("[Measures].[Sum of Total No. of Active Job Cards]",$B$41,"[MGNREGA].[state_name]","[MGNREGA].[state_name].&amp;[HARYANA]")</f>
        <v>#REF!</v>
      </c>
    </row>
    <row r="51" spans="8:10" x14ac:dyDescent="1.25">
      <c r="H51" s="7" t="s">
        <v>11</v>
      </c>
      <c r="I51" s="6" t="e">
        <f>GETPIVOTDATA("[Measures].[Sum of Total No. of JobCards issued]",$B$41,"[MGNREGA].[state_name]","[MGNREGA].[state_name].&amp;[HIMACHAL PRADESH]")</f>
        <v>#REF!</v>
      </c>
      <c r="J51" s="6" t="e">
        <f>GETPIVOTDATA("[Measures].[Sum of Total No. of Active Job Cards]",$B$41,"[MGNREGA].[state_name]","[MGNREGA].[state_name].&amp;[HIMACHAL PRADESH]")</f>
        <v>#REF!</v>
      </c>
    </row>
    <row r="52" spans="8:10" x14ac:dyDescent="1.25">
      <c r="H52" s="7" t="s">
        <v>13</v>
      </c>
      <c r="I52" s="6" t="e">
        <f>GETPIVOTDATA("[Measures].[Sum of Total No. of JobCards issued]",$B$41,"[MGNREGA].[state_name]","[MGNREGA].[state_name].&amp;[JHARKHAND]")</f>
        <v>#REF!</v>
      </c>
      <c r="J52" s="6" t="e">
        <f>GETPIVOTDATA("[Measures].[Sum of Total No. of Active Job Cards]",$B$41,"[MGNREGA].[state_name]","[MGNREGA].[state_name].&amp;[JHARKHAND]")</f>
        <v>#REF!</v>
      </c>
    </row>
    <row r="53" spans="8:10" x14ac:dyDescent="1.25">
      <c r="H53" s="7" t="s">
        <v>14</v>
      </c>
      <c r="I53" s="6" t="e">
        <f>GETPIVOTDATA("[Measures].[Sum of Total No. of JobCards issued]",$B$41,"[MGNREGA].[state_name]","[MGNREGA].[state_name].&amp;[KARNATAKA]")</f>
        <v>#REF!</v>
      </c>
      <c r="J53" s="6" t="e">
        <f>GETPIVOTDATA("[Measures].[Sum of Total No. of Active Job Cards]",$B$41,"[MGNREGA].[state_name]","[MGNREGA].[state_name].&amp;[KARNATAKA]")</f>
        <v>#REF!</v>
      </c>
    </row>
    <row r="54" spans="8:10" x14ac:dyDescent="1.25">
      <c r="H54" s="7" t="s">
        <v>15</v>
      </c>
      <c r="I54" s="6" t="e">
        <f>GETPIVOTDATA("[Measures].[Sum of Total No. of JobCards issued]",$B$41,"[MGNREGA].[state_name]","[MGNREGA].[state_name].&amp;[KERALA]")</f>
        <v>#REF!</v>
      </c>
      <c r="J54" s="6" t="e">
        <f>GETPIVOTDATA("[Measures].[Sum of Total No. of Active Job Cards]",$B$41,"[MGNREGA].[state_name]","[MGNREGA].[state_name].&amp;[KERALA]")</f>
        <v>#REF!</v>
      </c>
    </row>
    <row r="55" spans="8:10" x14ac:dyDescent="1.25">
      <c r="H55" s="7" t="s">
        <v>18</v>
      </c>
      <c r="I55" s="6" t="e">
        <f>GETPIVOTDATA("[Measures].[Sum of Total No. of JobCards issued]",$B$41,"[MGNREGA].[state_name]","[MGNREGA].[state_name].&amp;[MADHYA PRADESH]")</f>
        <v>#REF!</v>
      </c>
      <c r="J55" s="6" t="e">
        <f>GETPIVOTDATA("[Measures].[Sum of Total No. of Active Job Cards]",$B$41,"[MGNREGA].[state_name]","[MGNREGA].[state_name].&amp;[MADHYA PRADESH]")</f>
        <v>#REF!</v>
      </c>
    </row>
    <row r="56" spans="8:10" x14ac:dyDescent="1.25">
      <c r="H56" s="7" t="s">
        <v>19</v>
      </c>
      <c r="I56" s="6" t="e">
        <f>GETPIVOTDATA("[Measures].[Sum of Total No. of JobCards issued]",$B$41,"[MGNREGA].[state_name]","[MGNREGA].[state_name].&amp;[MAHARASHTRA]")</f>
        <v>#REF!</v>
      </c>
      <c r="J56" s="6" t="e">
        <f>GETPIVOTDATA("[Measures].[Sum of Total No. of Active Job Cards]",$B$41,"[MGNREGA].[state_name]","[MGNREGA].[state_name].&amp;[MAHARASHTRA]")</f>
        <v>#REF!</v>
      </c>
    </row>
    <row r="57" spans="8:10" x14ac:dyDescent="1.25">
      <c r="H57" s="7" t="s">
        <v>20</v>
      </c>
      <c r="I57" s="6" t="e">
        <f>GETPIVOTDATA("[Measures].[Sum of Total No. of JobCards issued]",$B$41,"[MGNREGA].[state_name]","[MGNREGA].[state_name].&amp;[MANIPUR]")</f>
        <v>#REF!</v>
      </c>
      <c r="J57" s="6" t="e">
        <f>GETPIVOTDATA("[Measures].[Sum of Total No. of Active Job Cards]",$B$41,"[MGNREGA].[state_name]","[MGNREGA].[state_name].&amp;[MANIPUR]")</f>
        <v>#REF!</v>
      </c>
    </row>
    <row r="58" spans="8:10" x14ac:dyDescent="1.25">
      <c r="H58" s="7" t="s">
        <v>21</v>
      </c>
      <c r="I58" s="6" t="e">
        <f>GETPIVOTDATA("[Measures].[Sum of Total No. of JobCards issued]",$B$41,"[MGNREGA].[state_name]","[MGNREGA].[state_name].&amp;[MEGHALAYA]")</f>
        <v>#REF!</v>
      </c>
      <c r="J58" s="6" t="e">
        <f>GETPIVOTDATA("[Measures].[Sum of Total No. of Active Job Cards]",$B$41,"[MGNREGA].[state_name]","[MGNREGA].[state_name].&amp;[MEGHALAYA]")</f>
        <v>#REF!</v>
      </c>
    </row>
    <row r="59" spans="8:10" x14ac:dyDescent="1.25">
      <c r="H59" s="7" t="s">
        <v>22</v>
      </c>
      <c r="I59" s="6" t="e">
        <f>GETPIVOTDATA("[Measures].[Sum of Total No. of JobCards issued]",$B$41,"[MGNREGA].[state_name]","[MGNREGA].[state_name].&amp;[MIZORAM]")</f>
        <v>#REF!</v>
      </c>
      <c r="J59" s="6" t="e">
        <f>GETPIVOTDATA("[Measures].[Sum of Total No. of Active Job Cards]",$B$41,"[MGNREGA].[state_name]","[MGNREGA].[state_name].&amp;[MIZORAM]")</f>
        <v>#REF!</v>
      </c>
    </row>
    <row r="60" spans="8:10" x14ac:dyDescent="1.25">
      <c r="H60" s="7" t="s">
        <v>23</v>
      </c>
      <c r="I60" s="6" t="e">
        <f>GETPIVOTDATA("[Measures].[Sum of Total No. of JobCards issued]",$B$41,"[MGNREGA].[state_name]","[MGNREGA].[state_name].&amp;[NAGALAND]")</f>
        <v>#REF!</v>
      </c>
      <c r="J60" s="6" t="e">
        <f>GETPIVOTDATA("[Measures].[Sum of Total No. of Active Job Cards]",$B$41,"[MGNREGA].[state_name]","[MGNREGA].[state_name].&amp;[NAGALAND]")</f>
        <v>#REF!</v>
      </c>
    </row>
    <row r="61" spans="8:10" x14ac:dyDescent="1.25">
      <c r="H61" s="7" t="s">
        <v>24</v>
      </c>
      <c r="I61" s="6" t="e">
        <f>GETPIVOTDATA("[Measures].[Sum of Total No. of JobCards issued]",$B$41,"[MGNREGA].[state_name]","[MGNREGA].[state_name].&amp;[ODISHA]")</f>
        <v>#REF!</v>
      </c>
      <c r="J61" s="6" t="e">
        <f>GETPIVOTDATA("[Measures].[Sum of Total No. of Active Job Cards]",$B$41,"[MGNREGA].[state_name]","[MGNREGA].[state_name].&amp;[ODISHA]")</f>
        <v>#REF!</v>
      </c>
    </row>
    <row r="62" spans="8:10" x14ac:dyDescent="1.25">
      <c r="H62" s="7" t="s">
        <v>26</v>
      </c>
      <c r="I62" s="6" t="e">
        <f>GETPIVOTDATA("[Measures].[Sum of Total No. of JobCards issued]",$B$41,"[MGNREGA].[state_name]","[MGNREGA].[state_name].&amp;[PUNJAB]")</f>
        <v>#REF!</v>
      </c>
      <c r="J62" s="6" t="e">
        <f>GETPIVOTDATA("[Measures].[Sum of Total No. of Active Job Cards]",$B$41,"[MGNREGA].[state_name]","[MGNREGA].[state_name].&amp;[PUNJAB]")</f>
        <v>#REF!</v>
      </c>
    </row>
    <row r="63" spans="8:10" x14ac:dyDescent="1.25">
      <c r="H63" s="7" t="s">
        <v>27</v>
      </c>
      <c r="I63" s="6" t="e">
        <f>GETPIVOTDATA("[Measures].[Sum of Total No. of JobCards issued]",$B$41,"[MGNREGA].[state_name]","[MGNREGA].[state_name].&amp;[RAJASTHAN]")</f>
        <v>#REF!</v>
      </c>
      <c r="J63" s="6" t="e">
        <f>GETPIVOTDATA("[Measures].[Sum of Total No. of Active Job Cards]",$B$41,"[MGNREGA].[state_name]","[MGNREGA].[state_name].&amp;[RAJASTHAN]")</f>
        <v>#REF!</v>
      </c>
    </row>
    <row r="64" spans="8:10" x14ac:dyDescent="1.25">
      <c r="H64" s="7" t="s">
        <v>28</v>
      </c>
      <c r="I64" s="6" t="e">
        <f>GETPIVOTDATA("[Measures].[Sum of Total No. of JobCards issued]",$B$41,"[MGNREGA].[state_name]","[MGNREGA].[state_name].&amp;[SIKKIM]")</f>
        <v>#REF!</v>
      </c>
      <c r="J64" s="6" t="e">
        <f>GETPIVOTDATA("[Measures].[Sum of Total No. of Active Job Cards]",$B$41,"[MGNREGA].[state_name]","[MGNREGA].[state_name].&amp;[SIKKIM]")</f>
        <v>#REF!</v>
      </c>
    </row>
    <row r="65" spans="1:14" x14ac:dyDescent="1.25">
      <c r="H65" s="7" t="s">
        <v>29</v>
      </c>
      <c r="I65" s="6" t="e">
        <f>GETPIVOTDATA("[Measures].[Sum of Total No. of JobCards issued]",$B$41,"[MGNREGA].[state_name]","[MGNREGA].[state_name].&amp;[TAMIL NADU]")</f>
        <v>#REF!</v>
      </c>
      <c r="J65" s="6" t="e">
        <f>GETPIVOTDATA("[Measures].[Sum of Total No. of Active Job Cards]",$B$41,"[MGNREGA].[state_name]","[MGNREGA].[state_name].&amp;[TAMIL NADU]")</f>
        <v>#REF!</v>
      </c>
    </row>
    <row r="66" spans="1:14" x14ac:dyDescent="1.25">
      <c r="H66" s="7" t="s">
        <v>30</v>
      </c>
      <c r="I66" s="6" t="e">
        <f>GETPIVOTDATA("[Measures].[Sum of Total No. of JobCards issued]",$B$41,"[MGNREGA].[state_name]","[MGNREGA].[state_name].&amp;[TELANGANA]")</f>
        <v>#REF!</v>
      </c>
      <c r="J66" s="6" t="e">
        <f>GETPIVOTDATA("[Measures].[Sum of Total No. of Active Job Cards]",$B$41,"[MGNREGA].[state_name]","[MGNREGA].[state_name].&amp;[TELANGANA]")</f>
        <v>#REF!</v>
      </c>
    </row>
    <row r="67" spans="1:14" x14ac:dyDescent="1.25">
      <c r="H67" s="7" t="s">
        <v>31</v>
      </c>
      <c r="I67" s="6" t="e">
        <f>GETPIVOTDATA("[Measures].[Sum of Total No. of JobCards issued]",$B$41,"[MGNREGA].[state_name]","[MGNREGA].[state_name].&amp;[TRIPURA]")</f>
        <v>#REF!</v>
      </c>
      <c r="J67" s="6" t="e">
        <f>GETPIVOTDATA("[Measures].[Sum of Total No. of Active Job Cards]",$B$41,"[MGNREGA].[state_name]","[MGNREGA].[state_name].&amp;[TRIPURA]")</f>
        <v>#REF!</v>
      </c>
    </row>
    <row r="68" spans="1:14" x14ac:dyDescent="1.25">
      <c r="H68" s="7" t="s">
        <v>32</v>
      </c>
      <c r="I68" s="6">
        <f>GETPIVOTDATA("[Measures].[Sum of Total No. of JobCards issued]",$B$41,"[MGNREGA].[state_name]","[MGNREGA].[state_name].&amp;[UTTAR PRADESH]")</f>
        <v>71241956</v>
      </c>
      <c r="J68" s="8">
        <f>GETPIVOTDATA("[Measures].[Sum of Total No. of Active Job Cards]",$B$41,"[MGNREGA].[state_name]","[MGNREGA].[state_name].&amp;[UTTAR PRADESH]")</f>
        <v>48181372</v>
      </c>
    </row>
    <row r="69" spans="1:14" x14ac:dyDescent="1.25">
      <c r="H69" s="7" t="s">
        <v>33</v>
      </c>
      <c r="I69" s="6" t="e">
        <f>GETPIVOTDATA("[Measures].[Sum of Total No. of JobCards issued]",$B$41,"[MGNREGA].[state_name]","[MGNREGA].[state_name].&amp;[UTTARAKHAND]")</f>
        <v>#REF!</v>
      </c>
      <c r="J69" s="6" t="e">
        <f>GETPIVOTDATA("[Measures].[Sum of Total No. of Active Job Cards]",$B$41,"[MGNREGA].[state_name]","[MGNREGA].[state_name].&amp;[UTTARAKHAND]")</f>
        <v>#REF!</v>
      </c>
    </row>
    <row r="70" spans="1:14" x14ac:dyDescent="1.25">
      <c r="H70" s="7" t="s">
        <v>34</v>
      </c>
      <c r="I70" s="6" t="e">
        <f>GETPIVOTDATA("[Measures].[Sum of Total No. of JobCards issued]",$B$41,"[MGNREGA].[state_name]","[MGNREGA].[state_name].&amp;[WEST BENGAL]")</f>
        <v>#REF!</v>
      </c>
      <c r="J70" s="6" t="e">
        <f>GETPIVOTDATA("[Measures].[Sum of Total No. of Active Job Cards]",$B$41,"[MGNREGA].[state_name]","[MGNREGA].[state_name].&amp;[WEST BENGAL]")</f>
        <v>#REF!</v>
      </c>
      <c r="M70" t="s">
        <v>55</v>
      </c>
      <c r="N70" t="s">
        <v>56</v>
      </c>
    </row>
    <row r="71" spans="1:14" x14ac:dyDescent="1.25">
      <c r="H71" s="7" t="s">
        <v>12</v>
      </c>
      <c r="I71" s="6" t="e">
        <f>GETPIVOTDATA("[Measures].[Sum of Total No. of JobCards issued]",$B$41,"[MGNREGA].[state_name]","[MGNREGA].[state_name].&amp;[JAMMU AND KASHMIR]")</f>
        <v>#REF!</v>
      </c>
      <c r="J71" s="6" t="e">
        <f>GETPIVOTDATA("[Measures].[Sum of Total No. of Active Job Cards]",$B$41,"[MGNREGA].[state_name]","[MGNREGA].[state_name].&amp;[JAMMU AND KASHMIR]")</f>
        <v>#REF!</v>
      </c>
    </row>
    <row r="72" spans="1:14" x14ac:dyDescent="1.25">
      <c r="H72" s="7" t="s">
        <v>7</v>
      </c>
      <c r="I72" s="6" t="e">
        <f>GETPIVOTDATA("[Measures].[Sum of Total No. of JobCards issued]",$B$41,"[MGNREGA].[state_name]","[MGNREGA].[state_name].&amp;[DN HAVELI AND DD]")</f>
        <v>#REF!</v>
      </c>
      <c r="J72" s="6" t="e">
        <f>GETPIVOTDATA("[Measures].[Sum of Total No. of Active Job Cards]",$B$41,"[MGNREGA].[state_name]","[MGNREGA].[state_name].&amp;[DN HAVELI AND DD]")</f>
        <v>#REF!</v>
      </c>
    </row>
    <row r="73" spans="1:14" x14ac:dyDescent="1.25">
      <c r="H73" s="7" t="s">
        <v>16</v>
      </c>
      <c r="I73" s="6" t="e">
        <f>GETPIVOTDATA("[Measures].[Sum of Total No. of JobCards issued]",$B$41,"[MGNREGA].[state_name]","[MGNREGA].[state_name].&amp;[LADAKH]")</f>
        <v>#REF!</v>
      </c>
      <c r="J73" s="6" t="e">
        <f>GETPIVOTDATA("[Measures].[Sum of Total No. of Active Job Cards]",$B$41,"[MGNREGA].[state_name]","[MGNREGA].[state_name].&amp;[LADAKH]")</f>
        <v>#REF!</v>
      </c>
    </row>
    <row r="74" spans="1:14" x14ac:dyDescent="1.25">
      <c r="H74" s="7" t="s">
        <v>17</v>
      </c>
      <c r="I74" s="6" t="e">
        <f>GETPIVOTDATA("[Measures].[Sum of Total No. of JobCards issued]",$B$41,"[MGNREGA].[state_name]","[MGNREGA].[state_name].&amp;[LAKSHADWEEP]")</f>
        <v>#REF!</v>
      </c>
      <c r="J74" s="6" t="e">
        <f>GETPIVOTDATA("[Measures].[Sum of Total No. of Active Job Cards]",$B$41,"[MGNREGA].[state_name]","[MGNREGA].[state_name].&amp;[LAKSHADWEEP]")</f>
        <v>#REF!</v>
      </c>
    </row>
    <row r="75" spans="1:14" x14ac:dyDescent="1.25">
      <c r="H75" s="7" t="s">
        <v>25</v>
      </c>
      <c r="I75" s="6" t="e">
        <f>GETPIVOTDATA("[Measures].[Sum of Total No. of JobCards issued]",$B$41,"[MGNREGA].[state_name]","[MGNREGA].[state_name].&amp;[PUDUCHERRY]")</f>
        <v>#REF!</v>
      </c>
      <c r="J75" s="6" t="e">
        <f>GETPIVOTDATA("[Measures].[Sum of Total No. of Active Job Cards]",$B$41,"[MGNREGA].[state_name]","[MGNREGA].[state_name].&amp;[PUDUCHERRY]")</f>
        <v>#REF!</v>
      </c>
    </row>
    <row r="80" spans="1:14" x14ac:dyDescent="1.25">
      <c r="A80" t="s">
        <v>67</v>
      </c>
      <c r="B80" t="s">
        <v>52</v>
      </c>
      <c r="D80" t="s">
        <v>59</v>
      </c>
      <c r="F80" t="s">
        <v>54</v>
      </c>
      <c r="H80" t="s">
        <v>40</v>
      </c>
    </row>
    <row r="81" spans="1:14" x14ac:dyDescent="1.25">
      <c r="A81">
        <f>GETPIVOTDATA("[Measures].[Sum of Total No. of JobCards issued]",$B$80)</f>
        <v>71241956</v>
      </c>
      <c r="B81" s="32">
        <v>71241956</v>
      </c>
      <c r="C81" s="34">
        <f>GETPIVOTDATA("[Measures].[Sum of Total No. of Workers]",$D$80)</f>
        <v>94285624</v>
      </c>
      <c r="D81" s="32">
        <v>94285624</v>
      </c>
      <c r="E81">
        <f>GETPIVOTDATA("[Measures].[Sum of Total No. of Active Job Cards]",$F$80)</f>
        <v>48181372</v>
      </c>
      <c r="F81" s="32">
        <v>48181372</v>
      </c>
      <c r="H81" s="32">
        <v>66522128</v>
      </c>
      <c r="I81" s="34">
        <f>GETPIVOTDATA("[Measures].[Sum of Total No. of Active Workers]",$H$80)</f>
        <v>66522128</v>
      </c>
    </row>
    <row r="84" spans="1:14" x14ac:dyDescent="1.25">
      <c r="B84" t="s">
        <v>60</v>
      </c>
      <c r="H84" s="15" t="s">
        <v>0</v>
      </c>
      <c r="I84" s="4" t="s">
        <v>66</v>
      </c>
      <c r="J84" s="4" t="s">
        <v>39</v>
      </c>
      <c r="L84" t="s">
        <v>53</v>
      </c>
      <c r="M84" t="s">
        <v>66</v>
      </c>
      <c r="N84" t="s">
        <v>39</v>
      </c>
    </row>
    <row r="85" spans="1:14" x14ac:dyDescent="1.25">
      <c r="B85" t="s">
        <v>61</v>
      </c>
      <c r="C85">
        <f>GETPIVOTDATA("[Measures].[Sum of Total No. of Active Job Cards]",$F$80)</f>
        <v>48181372</v>
      </c>
      <c r="D85" s="9">
        <f>(C85/C86)</f>
        <v>0.67630613623241898</v>
      </c>
      <c r="H85" s="16" t="s">
        <v>32</v>
      </c>
      <c r="I85" s="14">
        <v>0.64894579397138974</v>
      </c>
      <c r="J85" s="14">
        <v>0.67424130426222362</v>
      </c>
      <c r="L85" s="16" t="s">
        <v>1</v>
      </c>
      <c r="M85" s="14" t="e">
        <f>GETPIVOTDATA("[Measures].[Average of Job Card Utilization]",$H$84,"[MGNREGA].[state_name]","[MGNREGA].[state_name].&amp;[ANDAMAN AND NICOBAR]")</f>
        <v>#REF!</v>
      </c>
      <c r="N85" s="14" t="e">
        <f>GETPIVOTDATA("[Measures].[Average of Worker Participation Rate]",$H$84,"[MGNREGA].[state_name]","[MGNREGA].[state_name].&amp;[ANDAMAN AND NICOBAR]")</f>
        <v>#REF!</v>
      </c>
    </row>
    <row r="86" spans="1:14" x14ac:dyDescent="1.25">
      <c r="B86" t="s">
        <v>62</v>
      </c>
      <c r="C86">
        <f>GETPIVOTDATA("[Measures].[Sum of Total No. of JobCards issued]",$B$80)</f>
        <v>71241956</v>
      </c>
      <c r="L86" s="16" t="s">
        <v>2</v>
      </c>
      <c r="M86" s="14" t="e">
        <f>GETPIVOTDATA("[Measures].[Average of Job Card Utilization]",$H$84,"[MGNREGA].[state_name]","[MGNREGA].[state_name].&amp;[ANDHRA PRADESH]")</f>
        <v>#REF!</v>
      </c>
      <c r="N86" s="14" t="e">
        <f>GETPIVOTDATA("[Measures].[Average of Worker Participation Rate]",$H$84,"[MGNREGA].[state_name]","[MGNREGA].[state_name].&amp;[ANDHRA PRADESH]")</f>
        <v>#REF!</v>
      </c>
    </row>
    <row r="87" spans="1:14" x14ac:dyDescent="1.25">
      <c r="L87" s="16" t="s">
        <v>3</v>
      </c>
      <c r="M87" s="14" t="e">
        <f>GETPIVOTDATA("[Measures].[Average of Job Card Utilization]",$H$84,"[MGNREGA].[state_name]","[MGNREGA].[state_name].&amp;[ARUNACHAL PRADESH]")</f>
        <v>#REF!</v>
      </c>
      <c r="N87" s="14" t="e">
        <f>GETPIVOTDATA("[Measures].[Average of Worker Participation Rate]",$H$84,"[MGNREGA].[state_name]","[MGNREGA].[state_name].&amp;[ARUNACHAL PRADESH]")</f>
        <v>#REF!</v>
      </c>
    </row>
    <row r="88" spans="1:14" x14ac:dyDescent="1.25">
      <c r="B88" t="s">
        <v>63</v>
      </c>
      <c r="L88" s="16" t="s">
        <v>4</v>
      </c>
      <c r="M88" s="14" t="e">
        <f>GETPIVOTDATA("[Measures].[Average of Job Card Utilization]",$H$84,"[MGNREGA].[state_name]","[MGNREGA].[state_name].&amp;[ASSAM]")</f>
        <v>#REF!</v>
      </c>
      <c r="N88" s="14" t="e">
        <f>GETPIVOTDATA("[Measures].[Average of Worker Participation Rate]",$H$84,"[MGNREGA].[state_name]","[MGNREGA].[state_name].&amp;[ASSAM]")</f>
        <v>#REF!</v>
      </c>
    </row>
    <row r="89" spans="1:14" x14ac:dyDescent="1.25">
      <c r="B89" t="s">
        <v>64</v>
      </c>
      <c r="C89">
        <f>GETPIVOTDATA("[Measures].[Sum of Total No. of Active Workers]",$H$80)</f>
        <v>66522128</v>
      </c>
      <c r="D89" s="9">
        <f>(C89/C90)</f>
        <v>0.7055383968185861</v>
      </c>
      <c r="L89" s="16" t="s">
        <v>5</v>
      </c>
      <c r="M89" s="14" t="e">
        <f>GETPIVOTDATA("[Measures].[Average of Job Card Utilization]",$H$84,"[MGNREGA].[state_name]","[MGNREGA].[state_name].&amp;[BIHAR]")</f>
        <v>#REF!</v>
      </c>
      <c r="N89" s="14" t="e">
        <f>GETPIVOTDATA("[Measures].[Average of Worker Participation Rate]",$H$84,"[MGNREGA].[state_name]","[MGNREGA].[state_name].&amp;[BIHAR]")</f>
        <v>#REF!</v>
      </c>
    </row>
    <row r="90" spans="1:14" x14ac:dyDescent="1.25">
      <c r="B90" t="s">
        <v>65</v>
      </c>
      <c r="C90">
        <f>GETPIVOTDATA("[Measures].[Sum of Total No. of Workers]",$D$80)</f>
        <v>94285624</v>
      </c>
      <c r="L90" s="16" t="s">
        <v>6</v>
      </c>
      <c r="M90" s="14" t="e">
        <f>GETPIVOTDATA("[Measures].[Average of Job Card Utilization]",$H$84,"[MGNREGA].[state_name]","[MGNREGA].[state_name].&amp;[CHHATTISGARH]")</f>
        <v>#REF!</v>
      </c>
      <c r="N90" s="14" t="e">
        <f>GETPIVOTDATA("[Measures].[Average of Worker Participation Rate]",$H$84,"[MGNREGA].[state_name]","[MGNREGA].[state_name].&amp;[CHHATTISGARH]")</f>
        <v>#REF!</v>
      </c>
    </row>
    <row r="91" spans="1:14" x14ac:dyDescent="1.25">
      <c r="L91" s="16" t="s">
        <v>7</v>
      </c>
      <c r="M91" s="14" t="e">
        <f>GETPIVOTDATA("[Measures].[Average of Job Card Utilization]",$H$84,"[MGNREGA].[state_name]","[MGNREGA].[state_name].&amp;[DN HAVELI AND DD]")</f>
        <v>#REF!</v>
      </c>
      <c r="N91" s="14" t="e">
        <f>GETPIVOTDATA("[Measures].[Average of Worker Participation Rate]",$H$84,"[MGNREGA].[state_name]","[MGNREGA].[state_name].&amp;[DN HAVELI AND DD]")</f>
        <v>#REF!</v>
      </c>
    </row>
    <row r="92" spans="1:14" x14ac:dyDescent="1.25">
      <c r="L92" s="16" t="s">
        <v>8</v>
      </c>
      <c r="M92" s="14" t="e">
        <f>GETPIVOTDATA("[Measures].[Average of Job Card Utilization]",$H$84,"[MGNREGA].[state_name]","[MGNREGA].[state_name].&amp;[GOA]")</f>
        <v>#REF!</v>
      </c>
      <c r="N92" s="14" t="e">
        <f>GETPIVOTDATA("[Measures].[Average of Worker Participation Rate]",$H$84,"[MGNREGA].[state_name]","[MGNREGA].[state_name].&amp;[GOA]")</f>
        <v>#REF!</v>
      </c>
    </row>
    <row r="93" spans="1:14" x14ac:dyDescent="1.25">
      <c r="L93" s="16" t="s">
        <v>9</v>
      </c>
      <c r="M93" s="14" t="e">
        <f>GETPIVOTDATA("[Measures].[Average of Job Card Utilization]",$H$84,"[MGNREGA].[state_name]","[MGNREGA].[state_name].&amp;[GUJARAT]")</f>
        <v>#REF!</v>
      </c>
      <c r="N93" s="14" t="e">
        <f>GETPIVOTDATA("[Measures].[Average of Worker Participation Rate]",$H$84,"[MGNREGA].[state_name]","[MGNREGA].[state_name].&amp;[GUJARAT]")</f>
        <v>#REF!</v>
      </c>
    </row>
    <row r="94" spans="1:14" x14ac:dyDescent="1.25">
      <c r="L94" s="16" t="s">
        <v>10</v>
      </c>
      <c r="M94" s="14" t="e">
        <f>GETPIVOTDATA("[Measures].[Average of Job Card Utilization]",$H$84,"[MGNREGA].[state_name]","[MGNREGA].[state_name].&amp;[HARYANA]")</f>
        <v>#REF!</v>
      </c>
      <c r="N94" s="14" t="e">
        <f>GETPIVOTDATA("[Measures].[Average of Worker Participation Rate]",$H$84,"[MGNREGA].[state_name]","[MGNREGA].[state_name].&amp;[HARYANA]")</f>
        <v>#REF!</v>
      </c>
    </row>
    <row r="95" spans="1:14" x14ac:dyDescent="1.25">
      <c r="L95" s="16" t="s">
        <v>11</v>
      </c>
      <c r="M95" s="14" t="e">
        <f>GETPIVOTDATA("[Measures].[Average of Job Card Utilization]",$H$84,"[MGNREGA].[state_name]","[MGNREGA].[state_name].&amp;[HIMACHAL PRADESH]")</f>
        <v>#REF!</v>
      </c>
      <c r="N95" s="14" t="e">
        <f>GETPIVOTDATA("[Measures].[Average of Worker Participation Rate]",$H$84,"[MGNREGA].[state_name]","[MGNREGA].[state_name].&amp;[HIMACHAL PRADESH]")</f>
        <v>#REF!</v>
      </c>
    </row>
    <row r="96" spans="1:14" x14ac:dyDescent="1.25">
      <c r="L96" s="16" t="s">
        <v>12</v>
      </c>
      <c r="M96" s="14" t="e">
        <f>GETPIVOTDATA("[Measures].[Average of Job Card Utilization]",$H$84,"[MGNREGA].[state_name]","[MGNREGA].[state_name].&amp;[JAMMU AND KASHMIR]")</f>
        <v>#REF!</v>
      </c>
      <c r="N96" s="14" t="e">
        <f>GETPIVOTDATA("[Measures].[Average of Worker Participation Rate]",$H$84,"[MGNREGA].[state_name]","[MGNREGA].[state_name].&amp;[JAMMU AND KASHMIR]")</f>
        <v>#REF!</v>
      </c>
    </row>
    <row r="97" spans="2:14" x14ac:dyDescent="1.25">
      <c r="L97" s="16" t="s">
        <v>13</v>
      </c>
      <c r="M97" s="14" t="e">
        <f>GETPIVOTDATA("[Measures].[Average of Job Card Utilization]",$H$84,"[MGNREGA].[state_name]","[MGNREGA].[state_name].&amp;[JHARKHAND]")</f>
        <v>#REF!</v>
      </c>
      <c r="N97" s="14" t="e">
        <f>GETPIVOTDATA("[Measures].[Average of Worker Participation Rate]",$H$84,"[MGNREGA].[state_name]","[MGNREGA].[state_name].&amp;[JHARKHAND]")</f>
        <v>#REF!</v>
      </c>
    </row>
    <row r="98" spans="2:14" x14ac:dyDescent="1.25">
      <c r="L98" s="16" t="s">
        <v>14</v>
      </c>
      <c r="M98" s="14" t="e">
        <f>GETPIVOTDATA("[Measures].[Average of Job Card Utilization]",$H$84,"[MGNREGA].[state_name]","[MGNREGA].[state_name].&amp;[KARNATAKA]")</f>
        <v>#REF!</v>
      </c>
      <c r="N98" s="14" t="e">
        <f>GETPIVOTDATA("[Measures].[Average of Worker Participation Rate]",$H$84,"[MGNREGA].[state_name]","[MGNREGA].[state_name].&amp;[KARNATAKA]")</f>
        <v>#REF!</v>
      </c>
    </row>
    <row r="99" spans="2:14" x14ac:dyDescent="1.25">
      <c r="L99" s="16" t="s">
        <v>15</v>
      </c>
      <c r="M99" s="14" t="e">
        <f>GETPIVOTDATA("[Measures].[Average of Job Card Utilization]",$H$84,"[MGNREGA].[state_name]","[MGNREGA].[state_name].&amp;[KERALA]")</f>
        <v>#REF!</v>
      </c>
      <c r="N99" s="14" t="e">
        <f>GETPIVOTDATA("[Measures].[Average of Worker Participation Rate]",$H$84,"[MGNREGA].[state_name]","[MGNREGA].[state_name].&amp;[KERALA]")</f>
        <v>#REF!</v>
      </c>
    </row>
    <row r="100" spans="2:14" x14ac:dyDescent="1.25">
      <c r="L100" s="16" t="s">
        <v>16</v>
      </c>
      <c r="M100" s="14" t="e">
        <f>GETPIVOTDATA("[Measures].[Average of Job Card Utilization]",$H$84,"[MGNREGA].[state_name]","[MGNREGA].[state_name].&amp;[LADAKH]")</f>
        <v>#REF!</v>
      </c>
      <c r="N100" s="14" t="e">
        <f>GETPIVOTDATA("[Measures].[Average of Worker Participation Rate]",$H$84,"[MGNREGA].[state_name]","[MGNREGA].[state_name].&amp;[LADAKH]")</f>
        <v>#REF!</v>
      </c>
    </row>
    <row r="101" spans="2:14" x14ac:dyDescent="1.25">
      <c r="L101" s="16" t="s">
        <v>17</v>
      </c>
      <c r="M101" s="14" t="e">
        <f>GETPIVOTDATA("[Measures].[Average of Job Card Utilization]",$H$84,"[MGNREGA].[state_name]","[MGNREGA].[state_name].&amp;[LAKSHADWEEP]")</f>
        <v>#REF!</v>
      </c>
      <c r="N101" s="14" t="e">
        <f>GETPIVOTDATA("[Measures].[Average of Worker Participation Rate]",$H$84,"[MGNREGA].[state_name]","[MGNREGA].[state_name].&amp;[LAKSHADWEEP]")</f>
        <v>#REF!</v>
      </c>
    </row>
    <row r="102" spans="2:14" x14ac:dyDescent="1.25">
      <c r="L102" s="16" t="s">
        <v>18</v>
      </c>
      <c r="M102" s="14" t="e">
        <f>GETPIVOTDATA("[Measures].[Average of Job Card Utilization]",$H$84,"[MGNREGA].[state_name]","[MGNREGA].[state_name].&amp;[MADHYA PRADESH]")</f>
        <v>#REF!</v>
      </c>
      <c r="N102" s="14" t="e">
        <f>GETPIVOTDATA("[Measures].[Average of Worker Participation Rate]",$H$84,"[MGNREGA].[state_name]","[MGNREGA].[state_name].&amp;[MADHYA PRADESH]")</f>
        <v>#REF!</v>
      </c>
    </row>
    <row r="103" spans="2:14" x14ac:dyDescent="1.25">
      <c r="L103" s="16" t="s">
        <v>19</v>
      </c>
      <c r="M103" s="14" t="e">
        <f>GETPIVOTDATA("[Measures].[Average of Job Card Utilization]",$H$84,"[MGNREGA].[state_name]","[MGNREGA].[state_name].&amp;[MAHARASHTRA]")</f>
        <v>#REF!</v>
      </c>
      <c r="N103" s="14" t="e">
        <f>GETPIVOTDATA("[Measures].[Average of Worker Participation Rate]",$H$84,"[MGNREGA].[state_name]","[MGNREGA].[state_name].&amp;[MAHARASHTRA]")</f>
        <v>#REF!</v>
      </c>
    </row>
    <row r="104" spans="2:14" x14ac:dyDescent="1.25">
      <c r="B104" s="5" t="s">
        <v>0</v>
      </c>
      <c r="C104" t="s">
        <v>38</v>
      </c>
      <c r="L104" s="16" t="s">
        <v>20</v>
      </c>
      <c r="M104" s="14" t="e">
        <f>GETPIVOTDATA("[Measures].[Average of Job Card Utilization]",$H$84,"[MGNREGA].[state_name]","[MGNREGA].[state_name].&amp;[MANIPUR]")</f>
        <v>#REF!</v>
      </c>
      <c r="N104" s="14" t="e">
        <f>GETPIVOTDATA("[Measures].[Average of Worker Participation Rate]",$H$84,"[MGNREGA].[state_name]","[MGNREGA].[state_name].&amp;[MANIPUR]")</f>
        <v>#REF!</v>
      </c>
    </row>
    <row r="105" spans="2:14" x14ac:dyDescent="1.25">
      <c r="B105" s="7" t="s">
        <v>32</v>
      </c>
      <c r="C105" s="14">
        <v>0.64894579397138974</v>
      </c>
      <c r="L105" s="16" t="s">
        <v>21</v>
      </c>
      <c r="M105" s="14" t="e">
        <f>GETPIVOTDATA("[Measures].[Average of Job Card Utilization]",$H$84,"[MGNREGA].[state_name]","[MGNREGA].[state_name].&amp;[MEGHALAYA]")</f>
        <v>#REF!</v>
      </c>
      <c r="N105" s="14" t="e">
        <f>GETPIVOTDATA("[Measures].[Average of Worker Participation Rate]",$H$84,"[MGNREGA].[state_name]","[MGNREGA].[state_name].&amp;[MEGHALAYA]")</f>
        <v>#REF!</v>
      </c>
    </row>
    <row r="106" spans="2:14" x14ac:dyDescent="1.25">
      <c r="B106" s="7" t="s">
        <v>35</v>
      </c>
      <c r="C106" s="14">
        <v>0.64894579397138974</v>
      </c>
      <c r="L106" s="16" t="s">
        <v>22</v>
      </c>
      <c r="M106" s="14" t="e">
        <f>GETPIVOTDATA("[Measures].[Average of Job Card Utilization]",$H$84,"[MGNREGA].[state_name]","[MGNREGA].[state_name].&amp;[MIZORAM]")</f>
        <v>#REF!</v>
      </c>
      <c r="N106" s="14" t="e">
        <f>GETPIVOTDATA("[Measures].[Average of Worker Participation Rate]",$H$84,"[MGNREGA].[state_name]","[MGNREGA].[state_name].&amp;[MIZORAM]")</f>
        <v>#REF!</v>
      </c>
    </row>
    <row r="107" spans="2:14" x14ac:dyDescent="1.25">
      <c r="L107" s="16" t="s">
        <v>23</v>
      </c>
      <c r="M107" s="14" t="e">
        <f>GETPIVOTDATA("[Measures].[Average of Job Card Utilization]",$H$84,"[MGNREGA].[state_name]","[MGNREGA].[state_name].&amp;[NAGALAND]")</f>
        <v>#REF!</v>
      </c>
      <c r="N107" s="14" t="e">
        <f>GETPIVOTDATA("[Measures].[Average of Worker Participation Rate]",$H$84,"[MGNREGA].[state_name]","[MGNREGA].[state_name].&amp;[NAGALAND]")</f>
        <v>#REF!</v>
      </c>
    </row>
    <row r="108" spans="2:14" x14ac:dyDescent="1.25">
      <c r="L108" s="16" t="s">
        <v>24</v>
      </c>
      <c r="M108" s="14" t="e">
        <f>GETPIVOTDATA("[Measures].[Average of Job Card Utilization]",$H$84,"[MGNREGA].[state_name]","[MGNREGA].[state_name].&amp;[ODISHA]")</f>
        <v>#REF!</v>
      </c>
      <c r="N108" s="14" t="e">
        <f>GETPIVOTDATA("[Measures].[Average of Worker Participation Rate]",$H$84,"[MGNREGA].[state_name]","[MGNREGA].[state_name].&amp;[ODISHA]")</f>
        <v>#REF!</v>
      </c>
    </row>
    <row r="109" spans="2:14" x14ac:dyDescent="1.25">
      <c r="L109" s="16" t="s">
        <v>25</v>
      </c>
      <c r="M109" s="14" t="e">
        <f>GETPIVOTDATA("[Measures].[Average of Job Card Utilization]",$H$84,"[MGNREGA].[state_name]","[MGNREGA].[state_name].&amp;[PUDUCHERRY]")</f>
        <v>#REF!</v>
      </c>
      <c r="N109" s="14" t="e">
        <f>GETPIVOTDATA("[Measures].[Average of Worker Participation Rate]",$H$84,"[MGNREGA].[state_name]","[MGNREGA].[state_name].&amp;[PUDUCHERRY]")</f>
        <v>#REF!</v>
      </c>
    </row>
    <row r="110" spans="2:14" x14ac:dyDescent="1.25">
      <c r="L110" s="16" t="s">
        <v>26</v>
      </c>
      <c r="M110" s="14" t="e">
        <f>GETPIVOTDATA("[Measures].[Average of Job Card Utilization]",$H$84,"[MGNREGA].[state_name]","[MGNREGA].[state_name].&amp;[PUNJAB]")</f>
        <v>#REF!</v>
      </c>
      <c r="N110" s="14" t="e">
        <f>GETPIVOTDATA("[Measures].[Average of Worker Participation Rate]",$H$84,"[MGNREGA].[state_name]","[MGNREGA].[state_name].&amp;[PUNJAB]")</f>
        <v>#REF!</v>
      </c>
    </row>
    <row r="111" spans="2:14" x14ac:dyDescent="1.25">
      <c r="L111" s="16" t="s">
        <v>27</v>
      </c>
      <c r="M111" s="14" t="e">
        <f>GETPIVOTDATA("[Measures].[Average of Job Card Utilization]",$H$84,"[MGNREGA].[state_name]","[MGNREGA].[state_name].&amp;[RAJASTHAN]")</f>
        <v>#REF!</v>
      </c>
      <c r="N111" s="14" t="e">
        <f>GETPIVOTDATA("[Measures].[Average of Worker Participation Rate]",$H$84,"[MGNREGA].[state_name]","[MGNREGA].[state_name].&amp;[RAJASTHAN]")</f>
        <v>#REF!</v>
      </c>
    </row>
    <row r="112" spans="2:14" x14ac:dyDescent="1.25">
      <c r="L112" s="16" t="s">
        <v>28</v>
      </c>
      <c r="M112" s="14" t="e">
        <f>GETPIVOTDATA("[Measures].[Average of Job Card Utilization]",$H$84,"[MGNREGA].[state_name]","[MGNREGA].[state_name].&amp;[SIKKIM]")</f>
        <v>#REF!</v>
      </c>
      <c r="N112" s="14" t="e">
        <f>GETPIVOTDATA("[Measures].[Average of Worker Participation Rate]",$H$84,"[MGNREGA].[state_name]","[MGNREGA].[state_name].&amp;[SIKKIM]")</f>
        <v>#REF!</v>
      </c>
    </row>
    <row r="113" spans="2:14" x14ac:dyDescent="1.25">
      <c r="L113" s="16" t="s">
        <v>29</v>
      </c>
      <c r="M113" s="14" t="e">
        <f>GETPIVOTDATA("[Measures].[Average of Job Card Utilization]",$H$84,"[MGNREGA].[state_name]","[MGNREGA].[state_name].&amp;[TAMIL NADU]")</f>
        <v>#REF!</v>
      </c>
      <c r="N113" s="14" t="e">
        <f>GETPIVOTDATA("[Measures].[Average of Worker Participation Rate]",$H$84,"[MGNREGA].[state_name]","[MGNREGA].[state_name].&amp;[TAMIL NADU]")</f>
        <v>#REF!</v>
      </c>
    </row>
    <row r="114" spans="2:14" x14ac:dyDescent="1.25">
      <c r="L114" s="16" t="s">
        <v>30</v>
      </c>
      <c r="M114" s="14" t="e">
        <f>GETPIVOTDATA("[Measures].[Average of Job Card Utilization]",$H$84,"[MGNREGA].[state_name]","[MGNREGA].[state_name].&amp;[TELANGANA]")</f>
        <v>#REF!</v>
      </c>
      <c r="N114" s="14" t="e">
        <f>GETPIVOTDATA("[Measures].[Average of Worker Participation Rate]",$H$84,"[MGNREGA].[state_name]","[MGNREGA].[state_name].&amp;[TELANGANA]")</f>
        <v>#REF!</v>
      </c>
    </row>
    <row r="115" spans="2:14" x14ac:dyDescent="1.25">
      <c r="L115" s="16" t="s">
        <v>31</v>
      </c>
      <c r="M115" s="14" t="e">
        <f>GETPIVOTDATA("[Measures].[Average of Job Card Utilization]",$H$84,"[MGNREGA].[state_name]","[MGNREGA].[state_name].&amp;[TRIPURA]")</f>
        <v>#REF!</v>
      </c>
      <c r="N115" s="14" t="e">
        <f>GETPIVOTDATA("[Measures].[Average of Worker Participation Rate]",$H$84,"[MGNREGA].[state_name]","[MGNREGA].[state_name].&amp;[TRIPURA]")</f>
        <v>#REF!</v>
      </c>
    </row>
    <row r="116" spans="2:14" x14ac:dyDescent="1.25">
      <c r="B116" s="5" t="s">
        <v>0</v>
      </c>
      <c r="C116" t="s">
        <v>38</v>
      </c>
      <c r="L116" s="16" t="s">
        <v>32</v>
      </c>
      <c r="M116" s="14">
        <f>GETPIVOTDATA("[Measures].[Average of Job Card Utilization]",$H$84,"[MGNREGA].[state_name]","[MGNREGA].[state_name].&amp;[UTTAR PRADESH]")</f>
        <v>0.64894579397138974</v>
      </c>
      <c r="N116" s="14">
        <f>GETPIVOTDATA("[Measures].[Average of Worker Participation Rate]",$H$84,"[MGNREGA].[state_name]","[MGNREGA].[state_name].&amp;[UTTAR PRADESH]")</f>
        <v>0.67424130426222362</v>
      </c>
    </row>
    <row r="117" spans="2:14" x14ac:dyDescent="1.25">
      <c r="B117" s="7" t="s">
        <v>32</v>
      </c>
      <c r="C117" s="14">
        <v>0.64894579397138974</v>
      </c>
      <c r="L117" s="16" t="s">
        <v>33</v>
      </c>
      <c r="M117" s="14" t="e">
        <f>GETPIVOTDATA("[Measures].[Average of Job Card Utilization]",$H$84,"[MGNREGA].[state_name]","[MGNREGA].[state_name].&amp;[UTTARAKHAND]")</f>
        <v>#REF!</v>
      </c>
      <c r="N117" s="14" t="e">
        <f>GETPIVOTDATA("[Measures].[Average of Worker Participation Rate]",$H$84,"[MGNREGA].[state_name]","[MGNREGA].[state_name].&amp;[UTTARAKHAND]")</f>
        <v>#REF!</v>
      </c>
    </row>
    <row r="118" spans="2:14" x14ac:dyDescent="1.25">
      <c r="B118" s="7" t="s">
        <v>35</v>
      </c>
      <c r="C118" s="14">
        <v>0.64894579397138974</v>
      </c>
      <c r="L118" s="16" t="s">
        <v>34</v>
      </c>
      <c r="M118" s="14" t="e">
        <f>GETPIVOTDATA("[Measures].[Average of Job Card Utilization]",$H$84,"[MGNREGA].[state_name]","[MGNREGA].[state_name].&amp;[WEST BENGAL]")</f>
        <v>#REF!</v>
      </c>
      <c r="N118" s="14" t="e">
        <f>GETPIVOTDATA("[Measures].[Average of Worker Participation Rate]",$H$84,"[MGNREGA].[state_name]","[MGNREGA].[state_name].&amp;[WEST BENGAL]")</f>
        <v>#REF!</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710D-5C50-4C1C-A799-A1A76F17263F}">
  <dimension ref="A1:AE133"/>
  <sheetViews>
    <sheetView zoomScale="70" zoomScaleNormal="70" workbookViewId="0">
      <selection activeCell="A16" sqref="A16"/>
    </sheetView>
  </sheetViews>
  <sheetFormatPr defaultRowHeight="14.65" x14ac:dyDescent="0.35"/>
  <cols>
    <col min="1" max="7" width="8.796875" style="18"/>
    <col min="8" max="8" width="10" style="18" bestFit="1" customWidth="1"/>
    <col min="9" max="16384" width="8.796875" style="18"/>
  </cols>
  <sheetData>
    <row r="1" spans="1:28" x14ac:dyDescent="0.3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row>
    <row r="2" spans="1:28" x14ac:dyDescent="0.3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x14ac:dyDescent="0.3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1:28" x14ac:dyDescent="0.3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x14ac:dyDescent="0.3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1:28" x14ac:dyDescent="0.3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x14ac:dyDescent="0.3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x14ac:dyDescent="0.3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row>
    <row r="9" spans="1:28" x14ac:dyDescent="0.3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1:28" x14ac:dyDescent="0.3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x14ac:dyDescent="0.3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x14ac:dyDescent="0.3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1:28" x14ac:dyDescent="0.3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28" x14ac:dyDescent="0.3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1:28" x14ac:dyDescent="0.3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1:28" x14ac:dyDescent="0.3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1:28" x14ac:dyDescent="0.3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1:28" x14ac:dyDescent="0.3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1:28" x14ac:dyDescent="0.3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1:28" x14ac:dyDescent="0.3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1:28" x14ac:dyDescent="0.3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1:28" x14ac:dyDescent="0.3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1:28" x14ac:dyDescent="0.35">
      <c r="A23" s="17"/>
      <c r="B23" s="17"/>
      <c r="C23" s="17"/>
      <c r="D23" s="17"/>
      <c r="E23" s="17"/>
      <c r="F23" s="17"/>
      <c r="G23" s="17"/>
      <c r="H23" s="17"/>
      <c r="I23" s="17"/>
      <c r="J23" s="17"/>
      <c r="K23" s="17"/>
      <c r="L23" s="17"/>
      <c r="M23" s="17"/>
      <c r="N23" s="19"/>
      <c r="O23" s="17"/>
      <c r="P23" s="17"/>
      <c r="Q23" s="17"/>
      <c r="R23" s="17"/>
      <c r="S23" s="17"/>
      <c r="T23" s="17"/>
      <c r="U23" s="17"/>
      <c r="V23" s="17"/>
      <c r="W23" s="17"/>
      <c r="X23" s="17"/>
      <c r="Y23" s="17"/>
      <c r="Z23" s="17"/>
      <c r="AA23" s="17"/>
      <c r="AB23" s="17"/>
    </row>
    <row r="24" spans="1:28" x14ac:dyDescent="0.3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x14ac:dyDescent="0.3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x14ac:dyDescent="0.3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x14ac:dyDescent="0.3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x14ac:dyDescent="0.3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x14ac:dyDescent="0.3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x14ac:dyDescent="0.3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x14ac:dyDescent="0.3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x14ac:dyDescent="0.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1:28" x14ac:dyDescent="0.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x14ac:dyDescent="0.3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1:28" x14ac:dyDescent="0.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1:28" x14ac:dyDescent="0.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x14ac:dyDescent="0.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x14ac:dyDescent="0.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x14ac:dyDescent="0.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x14ac:dyDescent="0.3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x14ac:dyDescent="0.3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x14ac:dyDescent="0.3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x14ac:dyDescent="0.3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x14ac:dyDescent="0.3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x14ac:dyDescent="0.3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x14ac:dyDescent="0.3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x14ac:dyDescent="0.3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x14ac:dyDescent="0.3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1:28" x14ac:dyDescent="0.3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1:28" x14ac:dyDescent="0.3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x14ac:dyDescent="0.3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x14ac:dyDescent="0.3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x14ac:dyDescent="0.3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1:28" x14ac:dyDescent="0.3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1:28" x14ac:dyDescent="0.3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1:28" x14ac:dyDescent="0.3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1:28" x14ac:dyDescent="0.3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1:28" x14ac:dyDescent="0.3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28" x14ac:dyDescent="0.3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x14ac:dyDescent="0.3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1:28" x14ac:dyDescent="0.3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1:28" x14ac:dyDescent="0.3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28" x14ac:dyDescent="0.3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1:28" x14ac:dyDescent="0.3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1:28" x14ac:dyDescent="0.3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1:28" x14ac:dyDescent="0.3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1:28" x14ac:dyDescent="0.3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1:28" x14ac:dyDescent="0.3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1:28" x14ac:dyDescent="0.3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1:28" x14ac:dyDescent="0.3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1:28" x14ac:dyDescent="0.3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1:28" x14ac:dyDescent="0.3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1:28" x14ac:dyDescent="0.3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1:28" x14ac:dyDescent="0.3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1:28" x14ac:dyDescent="0.3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1:28" x14ac:dyDescent="0.3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1:28" x14ac:dyDescent="0.3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1:28" x14ac:dyDescent="0.3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1:28" x14ac:dyDescent="0.3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1:28" x14ac:dyDescent="0.3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1:28" x14ac:dyDescent="0.3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1:28" x14ac:dyDescent="0.3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1:28" x14ac:dyDescent="0.3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1:28" x14ac:dyDescent="0.3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1:28" x14ac:dyDescent="0.3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1:28" x14ac:dyDescent="0.3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1:28" x14ac:dyDescent="0.3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1:28" x14ac:dyDescent="0.3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1:28" x14ac:dyDescent="0.3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1:28" x14ac:dyDescent="0.3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1:28" x14ac:dyDescent="0.3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1:28" x14ac:dyDescent="0.3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1:28" x14ac:dyDescent="0.3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1:28" x14ac:dyDescent="0.3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1:28" x14ac:dyDescent="0.3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1:28" x14ac:dyDescent="0.3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1:28" x14ac:dyDescent="0.3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1:28" x14ac:dyDescent="0.3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1:28" x14ac:dyDescent="0.3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1:28" x14ac:dyDescent="0.3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1:28" x14ac:dyDescent="0.3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1:28" x14ac:dyDescent="0.3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1:28" x14ac:dyDescent="0.3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1:28" x14ac:dyDescent="0.3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1:28" x14ac:dyDescent="0.3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1:28" x14ac:dyDescent="0.3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1:28" x14ac:dyDescent="0.3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1:28" x14ac:dyDescent="0.3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1:28" x14ac:dyDescent="0.3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1:28" x14ac:dyDescent="0.3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1:28" x14ac:dyDescent="0.3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1:28" x14ac:dyDescent="0.3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1:31" x14ac:dyDescent="0.3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1:31" x14ac:dyDescent="0.3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1:31" x14ac:dyDescent="0.3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1:31" x14ac:dyDescent="0.3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1:31" x14ac:dyDescent="0.3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1:31" x14ac:dyDescent="0.3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E118" s="20" t="s">
        <v>68</v>
      </c>
    </row>
    <row r="119" spans="1:31" ht="22.9" x14ac:dyDescent="1.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E119"/>
    </row>
    <row r="120" spans="1:31" x14ac:dyDescent="0.3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E120" s="20" t="s">
        <v>69</v>
      </c>
    </row>
    <row r="121" spans="1:31" ht="22.9" x14ac:dyDescent="1.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E121"/>
    </row>
    <row r="122" spans="1:31" x14ac:dyDescent="0.3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E122" s="20" t="s">
        <v>70</v>
      </c>
    </row>
    <row r="123" spans="1:31" ht="22.9" x14ac:dyDescent="1.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E123"/>
    </row>
    <row r="124" spans="1:31" x14ac:dyDescent="0.3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E124" s="20" t="s">
        <v>71</v>
      </c>
    </row>
    <row r="125" spans="1:31" x14ac:dyDescent="0.3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E125" s="20" t="s">
        <v>72</v>
      </c>
    </row>
    <row r="126" spans="1:31" x14ac:dyDescent="0.35">
      <c r="AE126" s="20" t="s">
        <v>73</v>
      </c>
    </row>
    <row r="127" spans="1:31" x14ac:dyDescent="0.35">
      <c r="AE127" s="20" t="s">
        <v>74</v>
      </c>
    </row>
    <row r="128" spans="1:31" ht="22.9" x14ac:dyDescent="1.25">
      <c r="AE128"/>
    </row>
    <row r="129" spans="31:31" x14ac:dyDescent="0.35">
      <c r="AE129" s="20" t="s">
        <v>75</v>
      </c>
    </row>
    <row r="130" spans="31:31" ht="22.9" x14ac:dyDescent="1.25">
      <c r="AE130"/>
    </row>
    <row r="131" spans="31:31" x14ac:dyDescent="0.35">
      <c r="AE131" s="20" t="s">
        <v>76</v>
      </c>
    </row>
    <row r="132" spans="31:31" x14ac:dyDescent="0.35">
      <c r="AE132" s="20" t="s">
        <v>77</v>
      </c>
    </row>
    <row r="133" spans="31:31" x14ac:dyDescent="0.35">
      <c r="AE133" s="21" t="s">
        <v>78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7D2C-DAA0-47DC-AA58-5F0DC059AF19}">
  <dimension ref="B3:N97"/>
  <sheetViews>
    <sheetView topLeftCell="A42" zoomScale="70" zoomScaleNormal="70" workbookViewId="0">
      <selection activeCell="C48" sqref="C48"/>
    </sheetView>
  </sheetViews>
  <sheetFormatPr defaultRowHeight="15.4" x14ac:dyDescent="0.45"/>
  <cols>
    <col min="1" max="1" width="8.796875" style="3"/>
    <col min="2" max="2" width="20.59765625" style="3" bestFit="1" customWidth="1"/>
    <col min="3" max="3" width="20.8984375" style="3" bestFit="1" customWidth="1"/>
    <col min="4" max="12" width="8.796875" style="3"/>
    <col min="13" max="13" width="20.59765625" style="3" bestFit="1" customWidth="1"/>
    <col min="14" max="14" width="28.1484375" style="3" bestFit="1" customWidth="1"/>
    <col min="15" max="16384" width="8.796875" style="3"/>
  </cols>
  <sheetData>
    <row r="3" spans="2:14" x14ac:dyDescent="0.45">
      <c r="B3" s="10" t="s">
        <v>0</v>
      </c>
      <c r="C3" s="11" t="s">
        <v>39</v>
      </c>
      <c r="M3" s="10" t="s">
        <v>0</v>
      </c>
      <c r="N3" s="11" t="s">
        <v>40</v>
      </c>
    </row>
    <row r="4" spans="2:14" x14ac:dyDescent="0.45">
      <c r="B4" s="12" t="s">
        <v>7</v>
      </c>
      <c r="C4" s="13">
        <v>6.0357315306615159E-5</v>
      </c>
      <c r="M4" s="12" t="s">
        <v>7</v>
      </c>
      <c r="N4" s="31">
        <v>8</v>
      </c>
    </row>
    <row r="5" spans="2:14" x14ac:dyDescent="0.45">
      <c r="B5" s="12" t="s">
        <v>17</v>
      </c>
      <c r="C5" s="13">
        <v>2.9227053140096618E-2</v>
      </c>
      <c r="M5" s="12" t="s">
        <v>17</v>
      </c>
      <c r="N5" s="31">
        <v>1936</v>
      </c>
    </row>
    <row r="6" spans="2:14" x14ac:dyDescent="0.45">
      <c r="B6" s="12" t="s">
        <v>8</v>
      </c>
      <c r="C6" s="13">
        <v>0.19854576542274643</v>
      </c>
      <c r="M6" s="12" t="s">
        <v>8</v>
      </c>
      <c r="N6" s="31">
        <v>40364</v>
      </c>
    </row>
    <row r="7" spans="2:14" x14ac:dyDescent="0.45">
      <c r="B7" s="12" t="s">
        <v>1</v>
      </c>
      <c r="C7" s="13">
        <v>0.29822506427435863</v>
      </c>
      <c r="M7" s="12" t="s">
        <v>1</v>
      </c>
      <c r="N7" s="31">
        <v>75788</v>
      </c>
    </row>
    <row r="8" spans="2:14" x14ac:dyDescent="0.45">
      <c r="B8" s="12" t="s">
        <v>19</v>
      </c>
      <c r="C8" s="13">
        <v>0.3415662888229718</v>
      </c>
      <c r="M8" s="12" t="s">
        <v>16</v>
      </c>
      <c r="N8" s="31">
        <v>200884</v>
      </c>
    </row>
    <row r="9" spans="2:14" x14ac:dyDescent="0.45">
      <c r="B9" s="12" t="s">
        <v>9</v>
      </c>
      <c r="C9" s="13">
        <v>0.40942721100599033</v>
      </c>
      <c r="M9" s="12" t="s">
        <v>25</v>
      </c>
      <c r="N9" s="31">
        <v>363564</v>
      </c>
    </row>
    <row r="10" spans="2:14" x14ac:dyDescent="0.45">
      <c r="B10" s="12" t="s">
        <v>10</v>
      </c>
      <c r="C10" s="13">
        <v>0.48937557551276623</v>
      </c>
      <c r="M10" s="12" t="s">
        <v>28</v>
      </c>
      <c r="N10" s="31">
        <v>494312</v>
      </c>
    </row>
    <row r="11" spans="2:14" x14ac:dyDescent="0.45">
      <c r="B11" s="12" t="s">
        <v>5</v>
      </c>
      <c r="C11" s="13">
        <v>0.50036490169850933</v>
      </c>
      <c r="M11" s="12" t="s">
        <v>22</v>
      </c>
      <c r="N11" s="31">
        <v>926016</v>
      </c>
    </row>
    <row r="12" spans="2:14" x14ac:dyDescent="0.45">
      <c r="B12" s="12" t="s">
        <v>15</v>
      </c>
      <c r="C12" s="13">
        <v>0.54231032437648596</v>
      </c>
      <c r="M12" s="12" t="s">
        <v>3</v>
      </c>
      <c r="N12" s="31">
        <v>1859084</v>
      </c>
    </row>
    <row r="13" spans="2:14" x14ac:dyDescent="0.45">
      <c r="B13" s="12" t="s">
        <v>13</v>
      </c>
      <c r="C13" s="13">
        <v>0.5692359674691515</v>
      </c>
      <c r="M13" s="12" t="s">
        <v>23</v>
      </c>
      <c r="N13" s="31">
        <v>3017188</v>
      </c>
    </row>
    <row r="14" spans="2:14" x14ac:dyDescent="0.45">
      <c r="B14" s="12" t="s">
        <v>14</v>
      </c>
      <c r="C14" s="13">
        <v>0.57452633586232349</v>
      </c>
      <c r="M14" s="12" t="s">
        <v>20</v>
      </c>
      <c r="N14" s="31">
        <v>3832492</v>
      </c>
    </row>
    <row r="15" spans="2:14" x14ac:dyDescent="0.45">
      <c r="B15" s="12" t="s">
        <v>4</v>
      </c>
      <c r="C15" s="13">
        <v>0.65532227338553861</v>
      </c>
      <c r="M15" s="12" t="s">
        <v>21</v>
      </c>
      <c r="N15" s="31">
        <v>4516184</v>
      </c>
    </row>
    <row r="16" spans="2:14" x14ac:dyDescent="0.45">
      <c r="B16" s="12" t="s">
        <v>11</v>
      </c>
      <c r="C16" s="13">
        <v>0.66630453836799175</v>
      </c>
      <c r="M16" s="12" t="s">
        <v>31</v>
      </c>
      <c r="N16" s="31">
        <v>4582628</v>
      </c>
    </row>
    <row r="17" spans="2:14" x14ac:dyDescent="0.45">
      <c r="B17" s="12" t="s">
        <v>30</v>
      </c>
      <c r="C17" s="13">
        <v>0.67196887952976914</v>
      </c>
      <c r="M17" s="12" t="s">
        <v>10</v>
      </c>
      <c r="N17" s="31">
        <v>4866388</v>
      </c>
    </row>
    <row r="18" spans="2:14" x14ac:dyDescent="0.45">
      <c r="B18" s="12" t="s">
        <v>32</v>
      </c>
      <c r="C18" s="13">
        <v>0.67424130426222373</v>
      </c>
      <c r="M18" s="12" t="s">
        <v>33</v>
      </c>
      <c r="N18" s="31">
        <v>5450520</v>
      </c>
    </row>
    <row r="19" spans="2:14" x14ac:dyDescent="0.45">
      <c r="B19" s="12" t="s">
        <v>26</v>
      </c>
      <c r="C19" s="13">
        <v>0.67831074476525122</v>
      </c>
      <c r="M19" s="12" t="s">
        <v>12</v>
      </c>
      <c r="N19" s="31">
        <v>7233808</v>
      </c>
    </row>
    <row r="20" spans="2:14" x14ac:dyDescent="0.45">
      <c r="B20" s="12" t="s">
        <v>18</v>
      </c>
      <c r="C20" s="13">
        <v>0.71610742831937535</v>
      </c>
      <c r="M20" s="12" t="s">
        <v>11</v>
      </c>
      <c r="N20" s="31">
        <v>7313892</v>
      </c>
    </row>
    <row r="21" spans="2:14" x14ac:dyDescent="0.45">
      <c r="B21" s="12" t="s">
        <v>34</v>
      </c>
      <c r="C21" s="13">
        <v>0.73507288260264747</v>
      </c>
      <c r="M21" s="12" t="s">
        <v>26</v>
      </c>
      <c r="N21" s="31">
        <v>7490748</v>
      </c>
    </row>
    <row r="22" spans="2:14" x14ac:dyDescent="0.45">
      <c r="B22" s="12" t="s">
        <v>12</v>
      </c>
      <c r="C22" s="13">
        <v>0.74438774284434417</v>
      </c>
      <c r="M22" s="12" t="s">
        <v>15</v>
      </c>
      <c r="N22" s="31">
        <v>13362076</v>
      </c>
    </row>
    <row r="23" spans="2:14" x14ac:dyDescent="0.45">
      <c r="B23" s="12" t="s">
        <v>27</v>
      </c>
      <c r="C23" s="13">
        <v>0.76869360977513101</v>
      </c>
      <c r="M23" s="12" t="s">
        <v>9</v>
      </c>
      <c r="N23" s="31">
        <v>15212392</v>
      </c>
    </row>
    <row r="24" spans="2:14" x14ac:dyDescent="0.45">
      <c r="B24" s="12" t="s">
        <v>33</v>
      </c>
      <c r="C24" s="13">
        <v>0.77112113198823884</v>
      </c>
      <c r="M24" s="12" t="s">
        <v>13</v>
      </c>
      <c r="N24" s="31">
        <v>21122000</v>
      </c>
    </row>
    <row r="25" spans="2:14" x14ac:dyDescent="0.45">
      <c r="B25" s="12" t="s">
        <v>29</v>
      </c>
      <c r="C25" s="13">
        <v>0.8014407837884836</v>
      </c>
      <c r="M25" s="12" t="s">
        <v>6</v>
      </c>
      <c r="N25" s="31">
        <v>29649588</v>
      </c>
    </row>
    <row r="26" spans="2:14" x14ac:dyDescent="0.45">
      <c r="B26" s="12" t="s">
        <v>24</v>
      </c>
      <c r="C26" s="13">
        <v>0.81748783206913089</v>
      </c>
      <c r="M26" s="12" t="s">
        <v>30</v>
      </c>
      <c r="N26" s="31">
        <v>30144576</v>
      </c>
    </row>
    <row r="27" spans="2:14" x14ac:dyDescent="0.45">
      <c r="B27" s="12" t="s">
        <v>2</v>
      </c>
      <c r="C27" s="13">
        <v>0.83140339971383503</v>
      </c>
      <c r="M27" s="12" t="s">
        <v>4</v>
      </c>
      <c r="N27" s="31">
        <v>31738380</v>
      </c>
    </row>
    <row r="28" spans="2:14" x14ac:dyDescent="0.45">
      <c r="B28" s="12" t="s">
        <v>25</v>
      </c>
      <c r="C28" s="13">
        <v>0.8388936874520373</v>
      </c>
      <c r="M28" s="12" t="s">
        <v>24</v>
      </c>
      <c r="N28" s="31">
        <v>33429888</v>
      </c>
    </row>
    <row r="29" spans="2:14" x14ac:dyDescent="0.45">
      <c r="B29" s="12" t="s">
        <v>28</v>
      </c>
      <c r="C29" s="13">
        <v>0.86090463577531617</v>
      </c>
      <c r="M29" s="12" t="s">
        <v>19</v>
      </c>
      <c r="N29" s="31">
        <v>37598340</v>
      </c>
    </row>
    <row r="30" spans="2:14" x14ac:dyDescent="0.45">
      <c r="B30" s="12" t="s">
        <v>6</v>
      </c>
      <c r="C30" s="13">
        <v>0.86969149939101942</v>
      </c>
      <c r="M30" s="12" t="s">
        <v>2</v>
      </c>
      <c r="N30" s="31">
        <v>41649484</v>
      </c>
    </row>
    <row r="31" spans="2:14" x14ac:dyDescent="0.45">
      <c r="B31" s="12" t="s">
        <v>21</v>
      </c>
      <c r="C31" s="13">
        <v>0.91884160399211379</v>
      </c>
      <c r="M31" s="12" t="s">
        <v>14</v>
      </c>
      <c r="N31" s="31">
        <v>42509360</v>
      </c>
    </row>
    <row r="32" spans="2:14" x14ac:dyDescent="0.45">
      <c r="B32" s="12" t="s">
        <v>3</v>
      </c>
      <c r="C32" s="13">
        <v>0.93553676830035981</v>
      </c>
      <c r="M32" s="12" t="s">
        <v>5</v>
      </c>
      <c r="N32" s="31">
        <v>43272640</v>
      </c>
    </row>
    <row r="33" spans="2:14" x14ac:dyDescent="0.45">
      <c r="B33" s="12" t="s">
        <v>31</v>
      </c>
      <c r="C33" s="13">
        <v>0.95196986155889374</v>
      </c>
      <c r="M33" s="12" t="s">
        <v>29</v>
      </c>
      <c r="N33" s="31">
        <v>44036976</v>
      </c>
    </row>
    <row r="34" spans="2:14" x14ac:dyDescent="0.45">
      <c r="B34" s="12" t="s">
        <v>20</v>
      </c>
      <c r="C34" s="13">
        <v>0.95703021077247941</v>
      </c>
      <c r="M34" s="12" t="s">
        <v>18</v>
      </c>
      <c r="N34" s="31">
        <v>53172928</v>
      </c>
    </row>
    <row r="35" spans="2:14" x14ac:dyDescent="0.45">
      <c r="B35" s="12" t="s">
        <v>16</v>
      </c>
      <c r="C35" s="13">
        <v>0.96862454997786118</v>
      </c>
      <c r="M35" s="12" t="s">
        <v>32</v>
      </c>
      <c r="N35" s="31">
        <v>66522128</v>
      </c>
    </row>
    <row r="36" spans="2:14" x14ac:dyDescent="0.45">
      <c r="B36" s="12" t="s">
        <v>22</v>
      </c>
      <c r="C36" s="13">
        <v>0.96874106840045993</v>
      </c>
      <c r="M36" s="12" t="s">
        <v>27</v>
      </c>
      <c r="N36" s="31">
        <v>72507912</v>
      </c>
    </row>
    <row r="37" spans="2:14" x14ac:dyDescent="0.45">
      <c r="B37" s="12" t="s">
        <v>23</v>
      </c>
      <c r="C37" s="13">
        <v>0.97459394978565017</v>
      </c>
      <c r="M37" s="12" t="s">
        <v>34</v>
      </c>
      <c r="N37" s="31">
        <v>73722164</v>
      </c>
    </row>
    <row r="44" spans="2:14" x14ac:dyDescent="0.45">
      <c r="B44" s="10" t="s">
        <v>0</v>
      </c>
      <c r="C44" s="11" t="s">
        <v>39</v>
      </c>
    </row>
    <row r="45" spans="2:14" x14ac:dyDescent="0.45">
      <c r="B45" s="12" t="s">
        <v>21</v>
      </c>
      <c r="C45" s="13">
        <v>0.91884160399211379</v>
      </c>
    </row>
    <row r="46" spans="2:14" x14ac:dyDescent="0.45">
      <c r="B46" s="12" t="s">
        <v>3</v>
      </c>
      <c r="C46" s="13">
        <v>0.93553676830035981</v>
      </c>
    </row>
    <row r="47" spans="2:14" x14ac:dyDescent="0.45">
      <c r="B47" s="12" t="s">
        <v>31</v>
      </c>
      <c r="C47" s="13">
        <v>0.95196986155889374</v>
      </c>
    </row>
    <row r="48" spans="2:14" x14ac:dyDescent="0.45">
      <c r="B48" s="12" t="s">
        <v>20</v>
      </c>
      <c r="C48" s="13">
        <v>0.95703021077247941</v>
      </c>
    </row>
    <row r="49" spans="2:3" x14ac:dyDescent="0.45">
      <c r="B49" s="12" t="s">
        <v>16</v>
      </c>
      <c r="C49" s="13">
        <v>0.96862454997786118</v>
      </c>
    </row>
    <row r="50" spans="2:3" x14ac:dyDescent="0.45">
      <c r="B50" s="12" t="s">
        <v>22</v>
      </c>
      <c r="C50" s="13">
        <v>0.96874106840045993</v>
      </c>
    </row>
    <row r="51" spans="2:3" x14ac:dyDescent="0.45">
      <c r="B51" s="12" t="s">
        <v>23</v>
      </c>
      <c r="C51" s="13">
        <v>0.97459394978565017</v>
      </c>
    </row>
    <row r="52" spans="2:3" ht="22.9" x14ac:dyDescent="1.25">
      <c r="B52"/>
      <c r="C52"/>
    </row>
    <row r="53" spans="2:3" ht="22.9" x14ac:dyDescent="1.25">
      <c r="B53"/>
      <c r="C53"/>
    </row>
    <row r="54" spans="2:3" ht="22.9" x14ac:dyDescent="1.25">
      <c r="B54"/>
      <c r="C54"/>
    </row>
    <row r="55" spans="2:3" ht="22.9" x14ac:dyDescent="1.25">
      <c r="B55"/>
      <c r="C55"/>
    </row>
    <row r="56" spans="2:3" ht="22.9" x14ac:dyDescent="1.25">
      <c r="B56"/>
      <c r="C56"/>
    </row>
    <row r="57" spans="2:3" ht="22.9" x14ac:dyDescent="1.25">
      <c r="B57"/>
      <c r="C57"/>
    </row>
    <row r="58" spans="2:3" ht="22.9" x14ac:dyDescent="1.25">
      <c r="B58"/>
      <c r="C58"/>
    </row>
    <row r="59" spans="2:3" ht="22.9" x14ac:dyDescent="1.25">
      <c r="B59"/>
      <c r="C59"/>
    </row>
    <row r="60" spans="2:3" ht="22.9" x14ac:dyDescent="1.25">
      <c r="B60"/>
      <c r="C60"/>
    </row>
    <row r="61" spans="2:3" ht="22.9" x14ac:dyDescent="1.25">
      <c r="B61"/>
      <c r="C61"/>
    </row>
    <row r="62" spans="2:3" ht="22.9" x14ac:dyDescent="1.25">
      <c r="B62"/>
      <c r="C62"/>
    </row>
    <row r="63" spans="2:3" x14ac:dyDescent="0.45">
      <c r="B63" s="10" t="s">
        <v>0</v>
      </c>
      <c r="C63" s="11" t="s">
        <v>39</v>
      </c>
    </row>
    <row r="64" spans="2:3" x14ac:dyDescent="0.45">
      <c r="B64" s="12" t="s">
        <v>7</v>
      </c>
      <c r="C64" s="13">
        <v>6.0357315306615159E-5</v>
      </c>
    </row>
    <row r="65" spans="2:3" x14ac:dyDescent="0.45">
      <c r="B65" s="12" t="s">
        <v>17</v>
      </c>
      <c r="C65" s="13">
        <v>2.9227053140096618E-2</v>
      </c>
    </row>
    <row r="66" spans="2:3" x14ac:dyDescent="0.45">
      <c r="B66" s="12" t="s">
        <v>8</v>
      </c>
      <c r="C66" s="13">
        <v>0.19854576542274643</v>
      </c>
    </row>
    <row r="67" spans="2:3" x14ac:dyDescent="0.45">
      <c r="B67" s="12" t="s">
        <v>1</v>
      </c>
      <c r="C67" s="13">
        <v>0.29822506427435863</v>
      </c>
    </row>
    <row r="68" spans="2:3" x14ac:dyDescent="0.45">
      <c r="B68" s="12" t="s">
        <v>19</v>
      </c>
      <c r="C68" s="13">
        <v>0.3415662888229718</v>
      </c>
    </row>
    <row r="69" spans="2:3" x14ac:dyDescent="0.45">
      <c r="B69" s="12" t="s">
        <v>9</v>
      </c>
      <c r="C69" s="13">
        <v>0.40942721100599033</v>
      </c>
    </row>
    <row r="70" spans="2:3" x14ac:dyDescent="0.45">
      <c r="B70" s="12" t="s">
        <v>10</v>
      </c>
      <c r="C70" s="13">
        <v>0.48937557551276623</v>
      </c>
    </row>
    <row r="71" spans="2:3" ht="22.9" x14ac:dyDescent="1.25">
      <c r="B71"/>
      <c r="C71"/>
    </row>
    <row r="72" spans="2:3" ht="22.9" x14ac:dyDescent="1.25">
      <c r="B72"/>
      <c r="C72"/>
    </row>
    <row r="73" spans="2:3" ht="22.9" x14ac:dyDescent="1.25">
      <c r="B73"/>
      <c r="C73"/>
    </row>
    <row r="74" spans="2:3" ht="22.9" x14ac:dyDescent="1.25">
      <c r="B74"/>
      <c r="C74"/>
    </row>
    <row r="75" spans="2:3" ht="22.9" x14ac:dyDescent="1.25">
      <c r="B75"/>
      <c r="C75"/>
    </row>
    <row r="76" spans="2:3" ht="22.9" x14ac:dyDescent="1.25">
      <c r="B76"/>
      <c r="C76"/>
    </row>
    <row r="77" spans="2:3" ht="22.9" x14ac:dyDescent="1.25">
      <c r="B77"/>
      <c r="C77"/>
    </row>
    <row r="78" spans="2:3" ht="22.9" x14ac:dyDescent="1.25">
      <c r="B78"/>
      <c r="C78"/>
    </row>
    <row r="79" spans="2:3" ht="22.9" x14ac:dyDescent="1.25">
      <c r="B79"/>
      <c r="C79"/>
    </row>
    <row r="80" spans="2:3" ht="22.9" x14ac:dyDescent="1.25">
      <c r="B80"/>
      <c r="C80"/>
    </row>
    <row r="81" spans="2:3" ht="22.9" x14ac:dyDescent="1.25">
      <c r="B81"/>
      <c r="C81"/>
    </row>
    <row r="82" spans="2:3" ht="22.9" x14ac:dyDescent="1.25">
      <c r="B82"/>
      <c r="C82"/>
    </row>
    <row r="83" spans="2:3" ht="22.9" x14ac:dyDescent="1.25">
      <c r="B83"/>
      <c r="C83"/>
    </row>
    <row r="84" spans="2:3" ht="22.9" x14ac:dyDescent="1.25">
      <c r="B84"/>
      <c r="C84"/>
    </row>
    <row r="85" spans="2:3" ht="22.9" x14ac:dyDescent="1.25">
      <c r="B85"/>
      <c r="C85"/>
    </row>
    <row r="86" spans="2:3" ht="22.9" x14ac:dyDescent="1.25">
      <c r="B86"/>
      <c r="C86"/>
    </row>
    <row r="87" spans="2:3" ht="22.9" x14ac:dyDescent="1.25">
      <c r="B87"/>
      <c r="C87"/>
    </row>
    <row r="88" spans="2:3" ht="22.9" x14ac:dyDescent="1.25">
      <c r="B88"/>
      <c r="C88"/>
    </row>
    <row r="89" spans="2:3" ht="22.9" x14ac:dyDescent="1.25">
      <c r="B89"/>
      <c r="C89"/>
    </row>
    <row r="90" spans="2:3" ht="22.9" x14ac:dyDescent="1.25">
      <c r="B90"/>
      <c r="C90"/>
    </row>
    <row r="91" spans="2:3" ht="22.9" x14ac:dyDescent="1.25">
      <c r="B91"/>
      <c r="C91"/>
    </row>
    <row r="92" spans="2:3" ht="22.9" x14ac:dyDescent="1.25">
      <c r="B92"/>
      <c r="C92"/>
    </row>
    <row r="93" spans="2:3" ht="22.9" x14ac:dyDescent="1.25">
      <c r="B93"/>
      <c r="C93"/>
    </row>
    <row r="94" spans="2:3" ht="22.9" x14ac:dyDescent="1.25">
      <c r="B94"/>
      <c r="C94"/>
    </row>
    <row r="95" spans="2:3" ht="22.9" x14ac:dyDescent="1.25">
      <c r="B95"/>
      <c r="C95"/>
    </row>
    <row r="96" spans="2:3" ht="22.9" x14ac:dyDescent="1.25">
      <c r="B96"/>
      <c r="C96"/>
    </row>
    <row r="97" spans="2:3" ht="22.9" x14ac:dyDescent="1.25">
      <c r="B97"/>
      <c r="C97"/>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1AB7-F25F-4F82-94FA-91D8DB9C76F2}">
  <dimension ref="A1:AE104"/>
  <sheetViews>
    <sheetView showGridLines="0" zoomScale="102" zoomScaleNormal="85" workbookViewId="0">
      <selection activeCell="A34" sqref="A34"/>
    </sheetView>
  </sheetViews>
  <sheetFormatPr defaultRowHeight="15" x14ac:dyDescent="0.4"/>
  <cols>
    <col min="1" max="16384" width="8.796875" style="27"/>
  </cols>
  <sheetData>
    <row r="1" spans="1:31" x14ac:dyDescent="0.4">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row>
    <row r="2" spans="1:31" x14ac:dyDescent="0.4">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row>
    <row r="3" spans="1:31" x14ac:dyDescent="0.4">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row>
    <row r="4" spans="1:31" x14ac:dyDescent="0.4">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1" x14ac:dyDescent="0.4">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row>
    <row r="6" spans="1:31" x14ac:dyDescent="0.4">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row>
    <row r="7" spans="1:31" x14ac:dyDescent="0.4">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row>
    <row r="8" spans="1:31" x14ac:dyDescent="0.4">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row>
    <row r="9" spans="1:31" x14ac:dyDescent="0.4">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row>
    <row r="10" spans="1:31" x14ac:dyDescent="0.4">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row>
    <row r="11" spans="1:31" x14ac:dyDescent="0.4">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row>
    <row r="12" spans="1:31" x14ac:dyDescent="0.4">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row>
    <row r="13" spans="1:31" x14ac:dyDescent="0.4">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row>
    <row r="14" spans="1:31" x14ac:dyDescent="0.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x14ac:dyDescent="0.4">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x14ac:dyDescent="0.4">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1" x14ac:dyDescent="0.4">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1" x14ac:dyDescent="0.4">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1" x14ac:dyDescent="0.4">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1" x14ac:dyDescent="0.4">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1" spans="1:31" x14ac:dyDescent="0.4">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row>
    <row r="22" spans="1:31" x14ac:dyDescent="0.4">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1" x14ac:dyDescent="0.4">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x14ac:dyDescent="0.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x14ac:dyDescent="0.4">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x14ac:dyDescent="0.4">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x14ac:dyDescent="0.4">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x14ac:dyDescent="0.4">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x14ac:dyDescent="0.4">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x14ac:dyDescent="0.4">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x14ac:dyDescent="0.4">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x14ac:dyDescent="0.4">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x14ac:dyDescent="0.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x14ac:dyDescent="0.4">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x14ac:dyDescent="0.4">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x14ac:dyDescent="0.4">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x14ac:dyDescent="0.4">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x14ac:dyDescent="0.4">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x14ac:dyDescent="0.4">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x14ac:dyDescent="0.4">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x14ac:dyDescent="0.4">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x14ac:dyDescent="0.4">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x14ac:dyDescent="0.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x14ac:dyDescent="0.4">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x14ac:dyDescent="0.4">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x14ac:dyDescent="0.4">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x14ac:dyDescent="0.4">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x14ac:dyDescent="0.4">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x14ac:dyDescent="0.4">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x14ac:dyDescent="0.4">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x14ac:dyDescent="0.4">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x14ac:dyDescent="0.4">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x14ac:dyDescent="0.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x14ac:dyDescent="0.4">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x14ac:dyDescent="0.4">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x14ac:dyDescent="0.4">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x14ac:dyDescent="0.4">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x14ac:dyDescent="0.4">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x14ac:dyDescent="0.4">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x14ac:dyDescent="0.4">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x14ac:dyDescent="0.4">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x14ac:dyDescent="0.4">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x14ac:dyDescent="0.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x14ac:dyDescent="0.4">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x14ac:dyDescent="0.4">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x14ac:dyDescent="0.4">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x14ac:dyDescent="0.4">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x14ac:dyDescent="0.4">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x14ac:dyDescent="0.4">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x14ac:dyDescent="0.4">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x14ac:dyDescent="0.4">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x14ac:dyDescent="0.4">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x14ac:dyDescent="0.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x14ac:dyDescent="0.4">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x14ac:dyDescent="0.4">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x14ac:dyDescent="0.4">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x14ac:dyDescent="0.4">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x14ac:dyDescent="0.4">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x14ac:dyDescent="0.4">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x14ac:dyDescent="0.4">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x14ac:dyDescent="0.4">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x14ac:dyDescent="0.4">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x14ac:dyDescent="0.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x14ac:dyDescent="0.4">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x14ac:dyDescent="0.4">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x14ac:dyDescent="0.4">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x14ac:dyDescent="0.4">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x14ac:dyDescent="0.4">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x14ac:dyDescent="0.4">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x14ac:dyDescent="0.4">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x14ac:dyDescent="0.4">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x14ac:dyDescent="0.4">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x14ac:dyDescent="0.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x14ac:dyDescent="0.4">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x14ac:dyDescent="0.4">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x14ac:dyDescent="0.4">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x14ac:dyDescent="0.4">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x14ac:dyDescent="0.4">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x14ac:dyDescent="0.4">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x14ac:dyDescent="0.4">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x14ac:dyDescent="0.4">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x14ac:dyDescent="0.4">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x14ac:dyDescent="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41ED1-418A-400F-BCB3-B01C57844B9B}">
  <dimension ref="B3:Q87"/>
  <sheetViews>
    <sheetView topLeftCell="A7" zoomScale="43" zoomScaleNormal="85" workbookViewId="0">
      <selection activeCell="J25" sqref="J25"/>
    </sheetView>
  </sheetViews>
  <sheetFormatPr defaultRowHeight="22.9" x14ac:dyDescent="1.25"/>
  <cols>
    <col min="2" max="2" width="30.3984375" bestFit="1" customWidth="1"/>
    <col min="3" max="3" width="22.25" bestFit="1" customWidth="1"/>
    <col min="4" max="4" width="35.44921875" bestFit="1" customWidth="1"/>
    <col min="5" max="5" width="30.296875" bestFit="1" customWidth="1"/>
    <col min="6" max="6" width="21.296875" bestFit="1" customWidth="1"/>
    <col min="7" max="7" width="29.1484375" bestFit="1" customWidth="1"/>
    <col min="8" max="11" width="11.75" bestFit="1" customWidth="1"/>
    <col min="12" max="12" width="29.1484375" bestFit="1" customWidth="1"/>
    <col min="13" max="13" width="13" bestFit="1" customWidth="1"/>
    <col min="14" max="14" width="17.5" bestFit="1" customWidth="1"/>
    <col min="15" max="15" width="13.25" bestFit="1" customWidth="1"/>
    <col min="16" max="16" width="13" bestFit="1" customWidth="1"/>
    <col min="17" max="17" width="17.5" bestFit="1" customWidth="1"/>
    <col min="18" max="20" width="15.34765625" bestFit="1" customWidth="1"/>
    <col min="21" max="21" width="20.19921875" bestFit="1" customWidth="1"/>
    <col min="22" max="22" width="32.09765625" bestFit="1" customWidth="1"/>
    <col min="23" max="61" width="15.34765625" bestFit="1" customWidth="1"/>
    <col min="62" max="62" width="13.34765625" bestFit="1" customWidth="1"/>
    <col min="63" max="63" width="17.8984375" bestFit="1" customWidth="1"/>
  </cols>
  <sheetData>
    <row r="3" spans="2:8" ht="45.75" x14ac:dyDescent="1.25">
      <c r="B3" s="1" t="s">
        <v>0</v>
      </c>
      <c r="C3" s="30" t="s">
        <v>93</v>
      </c>
      <c r="D3" s="30" t="s">
        <v>97</v>
      </c>
      <c r="E3" t="s">
        <v>40</v>
      </c>
      <c r="G3" t="s">
        <v>41</v>
      </c>
      <c r="H3" t="s">
        <v>64</v>
      </c>
    </row>
    <row r="4" spans="2:8" x14ac:dyDescent="1.25">
      <c r="B4" s="2" t="s">
        <v>27</v>
      </c>
      <c r="C4" s="28">
        <v>15318168</v>
      </c>
      <c r="D4" s="28">
        <v>15000676</v>
      </c>
      <c r="E4" s="28">
        <v>72507912</v>
      </c>
      <c r="G4" s="2" t="s">
        <v>4</v>
      </c>
      <c r="H4" t="e">
        <f>GETPIVOTDATA("[Measures].[Sum of Total No. of Active Workers]",$B$3,"[MGNREGA].[state_name]","[MGNREGA].[state_name].&amp;[ASSAM]")</f>
        <v>#REF!</v>
      </c>
    </row>
    <row r="5" spans="2:8" x14ac:dyDescent="1.25">
      <c r="B5" s="2" t="s">
        <v>35</v>
      </c>
      <c r="C5" s="28">
        <v>15318168</v>
      </c>
      <c r="D5" s="28">
        <v>15000676</v>
      </c>
      <c r="E5" s="28">
        <v>72507912</v>
      </c>
      <c r="G5" s="2" t="s">
        <v>1</v>
      </c>
      <c r="H5" t="e">
        <f>GETPIVOTDATA("[Measures].[Sum of Total No. of Active Workers]",$B$3,"[MGNREGA].[state_name]","[MGNREGA].[state_name].&amp;[ANDAMAN AND NICOBAR]")</f>
        <v>#REF!</v>
      </c>
    </row>
    <row r="6" spans="2:8" x14ac:dyDescent="1.25">
      <c r="G6" s="2" t="s">
        <v>2</v>
      </c>
      <c r="H6" t="e">
        <f>GETPIVOTDATA("[Measures].[Sum of Total No. of Active Workers]",$B$3,"[MGNREGA].[state_name]","[MGNREGA].[state_name].&amp;[ANDHRA PRADESH]")</f>
        <v>#REF!</v>
      </c>
    </row>
    <row r="7" spans="2:8" x14ac:dyDescent="1.25">
      <c r="G7" s="2" t="s">
        <v>3</v>
      </c>
      <c r="H7" t="e">
        <f>GETPIVOTDATA("[Measures].[Sum of Total No. of Active Workers]",$B$3,"[MGNREGA].[state_name]","[MGNREGA].[state_name].&amp;[ARUNACHAL PRADESH]")</f>
        <v>#REF!</v>
      </c>
    </row>
    <row r="8" spans="2:8" x14ac:dyDescent="1.25">
      <c r="G8" s="2" t="s">
        <v>5</v>
      </c>
      <c r="H8" t="e">
        <f>GETPIVOTDATA("[Measures].[Sum of Total No. of Active Workers]",$B$3,"[MGNREGA].[state_name]","[MGNREGA].[state_name].&amp;[BIHAR]")</f>
        <v>#REF!</v>
      </c>
    </row>
    <row r="9" spans="2:8" x14ac:dyDescent="1.25">
      <c r="G9" s="2" t="s">
        <v>6</v>
      </c>
      <c r="H9" t="e">
        <f>GETPIVOTDATA("[Measures].[Sum of Total No. of Active Workers]",$B$3,"[MGNREGA].[state_name]","[MGNREGA].[state_name].&amp;[CHHATTISGARH]")</f>
        <v>#REF!</v>
      </c>
    </row>
    <row r="10" spans="2:8" x14ac:dyDescent="1.25">
      <c r="G10" s="2" t="s">
        <v>7</v>
      </c>
      <c r="H10" t="e">
        <f>GETPIVOTDATA("[Measures].[Sum of Total No. of Active Workers]",$B$3,"[MGNREGA].[state_name]","[MGNREGA].[state_name].&amp;[DN HAVELI AND DD]")</f>
        <v>#REF!</v>
      </c>
    </row>
    <row r="11" spans="2:8" x14ac:dyDescent="1.25">
      <c r="G11" s="2" t="s">
        <v>8</v>
      </c>
      <c r="H11" t="e">
        <f>GETPIVOTDATA("[Measures].[Sum of Total No. of Active Workers]",$B$3,"[MGNREGA].[state_name]","[MGNREGA].[state_name].&amp;[GOA]")</f>
        <v>#REF!</v>
      </c>
    </row>
    <row r="12" spans="2:8" x14ac:dyDescent="1.25">
      <c r="G12" s="2" t="s">
        <v>9</v>
      </c>
      <c r="H12" t="e">
        <f>GETPIVOTDATA("[Measures].[Sum of Total No. of Active Workers]",$B$3,"[MGNREGA].[state_name]","[MGNREGA].[state_name].&amp;[GUJARAT]")</f>
        <v>#REF!</v>
      </c>
    </row>
    <row r="13" spans="2:8" x14ac:dyDescent="1.25">
      <c r="G13" s="2" t="s">
        <v>10</v>
      </c>
      <c r="H13" t="e">
        <f>GETPIVOTDATA("[Measures].[Sum of Total No. of Active Workers]",$B$3,"[MGNREGA].[state_name]","[MGNREGA].[state_name].&amp;[HARYANA]")</f>
        <v>#REF!</v>
      </c>
    </row>
    <row r="14" spans="2:8" x14ac:dyDescent="1.25">
      <c r="G14" s="2" t="s">
        <v>11</v>
      </c>
      <c r="H14" t="e">
        <f>GETPIVOTDATA("[Measures].[Sum of Total No. of Active Workers]",$B$3,"[MGNREGA].[state_name]","[MGNREGA].[state_name].&amp;[HIMACHAL PRADESH]")</f>
        <v>#REF!</v>
      </c>
    </row>
    <row r="15" spans="2:8" x14ac:dyDescent="1.25">
      <c r="G15" s="2" t="s">
        <v>12</v>
      </c>
      <c r="H15" t="e">
        <f>GETPIVOTDATA("[Measures].[Sum of Total No. of Active Workers]",$B$3,"[MGNREGA].[state_name]","[MGNREGA].[state_name].&amp;[JAMMU AND KASHMIR]")</f>
        <v>#REF!</v>
      </c>
    </row>
    <row r="16" spans="2:8" x14ac:dyDescent="1.25">
      <c r="G16" s="2" t="s">
        <v>13</v>
      </c>
      <c r="H16" t="e">
        <f>GETPIVOTDATA("[Measures].[Sum of Total No. of Active Workers]",$B$3,"[MGNREGA].[state_name]","[MGNREGA].[state_name].&amp;[JHARKHAND]")</f>
        <v>#REF!</v>
      </c>
    </row>
    <row r="17" spans="7:8" x14ac:dyDescent="1.25">
      <c r="G17" s="2" t="s">
        <v>14</v>
      </c>
      <c r="H17" t="e">
        <f>GETPIVOTDATA("[Measures].[Sum of Total No. of Active Workers]",$B$3,"[MGNREGA].[state_name]","[MGNREGA].[state_name].&amp;[KARNATAKA]")</f>
        <v>#REF!</v>
      </c>
    </row>
    <row r="18" spans="7:8" x14ac:dyDescent="1.25">
      <c r="G18" s="2" t="s">
        <v>15</v>
      </c>
      <c r="H18" t="e">
        <f>GETPIVOTDATA("[Measures].[Sum of Total No. of Active Workers]",$B$3,"[MGNREGA].[state_name]","[MGNREGA].[state_name].&amp;[KERALA]")</f>
        <v>#REF!</v>
      </c>
    </row>
    <row r="19" spans="7:8" x14ac:dyDescent="1.25">
      <c r="G19" s="2" t="s">
        <v>16</v>
      </c>
      <c r="H19" t="e">
        <f>GETPIVOTDATA("[Measures].[Sum of Total No. of Active Workers]",$B$3,"[MGNREGA].[state_name]","[MGNREGA].[state_name].&amp;[LADAKH]")</f>
        <v>#REF!</v>
      </c>
    </row>
    <row r="20" spans="7:8" x14ac:dyDescent="1.25">
      <c r="G20" s="2" t="s">
        <v>17</v>
      </c>
      <c r="H20" t="e">
        <f>GETPIVOTDATA("[Measures].[Sum of Total No. of Active Workers]",$B$3,"[MGNREGA].[state_name]","[MGNREGA].[state_name].&amp;[LAKSHADWEEP]")</f>
        <v>#REF!</v>
      </c>
    </row>
    <row r="21" spans="7:8" x14ac:dyDescent="1.25">
      <c r="G21" s="2" t="s">
        <v>18</v>
      </c>
      <c r="H21" t="e">
        <f>GETPIVOTDATA("[Measures].[Sum of Total No. of Active Workers]",$B$3,"[MGNREGA].[state_name]","[MGNREGA].[state_name].&amp;[MADHYA PRADESH]")</f>
        <v>#REF!</v>
      </c>
    </row>
    <row r="22" spans="7:8" x14ac:dyDescent="1.25">
      <c r="G22" s="2" t="s">
        <v>19</v>
      </c>
      <c r="H22" t="e">
        <f>GETPIVOTDATA("[Measures].[Sum of Total No. of Active Workers]",$B$3,"[MGNREGA].[state_name]","[MGNREGA].[state_name].&amp;[MAHARASHTRA]")</f>
        <v>#REF!</v>
      </c>
    </row>
    <row r="23" spans="7:8" x14ac:dyDescent="1.25">
      <c r="G23" s="2" t="s">
        <v>20</v>
      </c>
      <c r="H23" t="e">
        <f>GETPIVOTDATA("[Measures].[Sum of Total No. of Active Workers]",$B$3,"[MGNREGA].[state_name]","[MGNREGA].[state_name].&amp;[MANIPUR]")</f>
        <v>#REF!</v>
      </c>
    </row>
    <row r="24" spans="7:8" x14ac:dyDescent="1.25">
      <c r="G24" s="2" t="s">
        <v>21</v>
      </c>
      <c r="H24" t="e">
        <f>GETPIVOTDATA("[Measures].[Sum of Total No. of Active Workers]",$B$3,"[MGNREGA].[state_name]","[MGNREGA].[state_name].&amp;[MEGHALAYA]")</f>
        <v>#REF!</v>
      </c>
    </row>
    <row r="25" spans="7:8" x14ac:dyDescent="1.25">
      <c r="G25" s="2" t="s">
        <v>22</v>
      </c>
      <c r="H25" t="e">
        <f>GETPIVOTDATA("[Measures].[Sum of Total No. of Active Workers]",$B$3,"[MGNREGA].[state_name]","[MGNREGA].[state_name].&amp;[MIZORAM]")</f>
        <v>#REF!</v>
      </c>
    </row>
    <row r="26" spans="7:8" x14ac:dyDescent="1.25">
      <c r="G26" s="2" t="s">
        <v>23</v>
      </c>
      <c r="H26" t="e">
        <f>GETPIVOTDATA("[Measures].[Sum of Total No. of Active Workers]",$B$3,"[MGNREGA].[state_name]","[MGNREGA].[state_name].&amp;[NAGALAND]")</f>
        <v>#REF!</v>
      </c>
    </row>
    <row r="27" spans="7:8" x14ac:dyDescent="1.25">
      <c r="G27" s="2" t="s">
        <v>24</v>
      </c>
      <c r="H27" t="e">
        <f>GETPIVOTDATA("[Measures].[Sum of Total No. of Active Workers]",$B$3,"[MGNREGA].[state_name]","[MGNREGA].[state_name].&amp;[ODISHA]")</f>
        <v>#REF!</v>
      </c>
    </row>
    <row r="28" spans="7:8" x14ac:dyDescent="1.25">
      <c r="G28" s="2" t="s">
        <v>25</v>
      </c>
      <c r="H28" t="e">
        <f>GETPIVOTDATA("[Measures].[Sum of Total No. of Active Workers]",$B$3,"[MGNREGA].[state_name]","[MGNREGA].[state_name].&amp;[PUDUCHERRY]")</f>
        <v>#REF!</v>
      </c>
    </row>
    <row r="29" spans="7:8" x14ac:dyDescent="1.25">
      <c r="G29" s="2" t="s">
        <v>26</v>
      </c>
      <c r="H29" t="e">
        <f>GETPIVOTDATA("[Measures].[Sum of Total No. of Active Workers]",$B$3,"[MGNREGA].[state_name]","[MGNREGA].[state_name].&amp;[PUNJAB]")</f>
        <v>#REF!</v>
      </c>
    </row>
    <row r="30" spans="7:8" x14ac:dyDescent="1.25">
      <c r="G30" s="2" t="s">
        <v>27</v>
      </c>
      <c r="H30">
        <f>GETPIVOTDATA("[Measures].[Sum of Total No. of Active Workers]",$B$3,"[MGNREGA].[state_name]","[MGNREGA].[state_name].&amp;[RAJASTHAN]")</f>
        <v>72507912</v>
      </c>
    </row>
    <row r="31" spans="7:8" x14ac:dyDescent="1.25">
      <c r="G31" s="2" t="s">
        <v>28</v>
      </c>
      <c r="H31" t="e">
        <f>GETPIVOTDATA("[Measures].[Sum of Total No. of Active Workers]",$B$3,"[MGNREGA].[state_name]","[MGNREGA].[state_name].&amp;[SIKKIM]")</f>
        <v>#REF!</v>
      </c>
    </row>
    <row r="32" spans="7:8" x14ac:dyDescent="1.25">
      <c r="G32" s="2" t="s">
        <v>29</v>
      </c>
      <c r="H32" t="e">
        <f>GETPIVOTDATA("[Measures].[Sum of Total No. of Active Workers]",$B$3,"[MGNREGA].[state_name]","[MGNREGA].[state_name].&amp;[TAMIL NADU]")</f>
        <v>#REF!</v>
      </c>
    </row>
    <row r="33" spans="2:17" x14ac:dyDescent="1.25">
      <c r="G33" s="2" t="s">
        <v>30</v>
      </c>
      <c r="H33" t="e">
        <f>GETPIVOTDATA("[Measures].[Sum of Total No. of Active Workers]",$B$3,"[MGNREGA].[state_name]","[MGNREGA].[state_name].&amp;[TELANGANA]")</f>
        <v>#REF!</v>
      </c>
    </row>
    <row r="34" spans="2:17" x14ac:dyDescent="1.25">
      <c r="G34" s="2" t="s">
        <v>31</v>
      </c>
      <c r="H34" t="e">
        <f>GETPIVOTDATA("[Measures].[Sum of Total No. of Active Workers]",$B$3,"[MGNREGA].[state_name]","[MGNREGA].[state_name].&amp;[TRIPURA]")</f>
        <v>#REF!</v>
      </c>
    </row>
    <row r="35" spans="2:17" x14ac:dyDescent="1.25">
      <c r="G35" s="2" t="s">
        <v>32</v>
      </c>
      <c r="H35" t="e">
        <f>GETPIVOTDATA("[Measures].[Sum of Total No. of Active Workers]",$B$3,"[MGNREGA].[state_name]","[MGNREGA].[state_name].&amp;[UTTAR PRADESH]")</f>
        <v>#REF!</v>
      </c>
    </row>
    <row r="36" spans="2:17" x14ac:dyDescent="1.25">
      <c r="G36" s="2" t="s">
        <v>33</v>
      </c>
      <c r="H36" t="e">
        <f>GETPIVOTDATA("[Measures].[Sum of Total No. of Active Workers]",$B$3,"[MGNREGA].[state_name]","[MGNREGA].[state_name].&amp;[UTTARAKHAND]")</f>
        <v>#REF!</v>
      </c>
    </row>
    <row r="37" spans="2:17" x14ac:dyDescent="1.25">
      <c r="G37" s="2" t="s">
        <v>34</v>
      </c>
      <c r="H37" t="e">
        <f>GETPIVOTDATA("[Measures].[Sum of Total No. of Active Workers]",$B$3,"[MGNREGA].[state_name]","[MGNREGA].[state_name].&amp;[WEST BENGAL]")</f>
        <v>#REF!</v>
      </c>
    </row>
    <row r="40" spans="2:17" x14ac:dyDescent="1.25">
      <c r="I40" s="29" t="s">
        <v>94</v>
      </c>
      <c r="M40" s="29" t="s">
        <v>98</v>
      </c>
      <c r="Q40" t="s">
        <v>101</v>
      </c>
    </row>
    <row r="41" spans="2:17" x14ac:dyDescent="1.25">
      <c r="B41" s="1" t="s">
        <v>0</v>
      </c>
      <c r="C41" t="s">
        <v>108</v>
      </c>
      <c r="I41" t="s">
        <v>95</v>
      </c>
      <c r="J41" s="34">
        <f>GETPIVOTDATA("[Measures].[Sum of SC workers against active workers]",$B$3)</f>
        <v>15318168</v>
      </c>
      <c r="K41" s="9">
        <f>J41/J42</f>
        <v>0.21126202061921187</v>
      </c>
      <c r="M41" t="s">
        <v>99</v>
      </c>
      <c r="N41" s="34">
        <f>GETPIVOTDATA("[Measures].[Sum of ST workers against active workers]",$B$3)</f>
        <v>15000676</v>
      </c>
      <c r="O41" s="9">
        <f>N41/N42</f>
        <v>0.20688329847368933</v>
      </c>
      <c r="Q41" s="34">
        <f>GETPIVOTDATA("[Measures].[Sum of Total Persondays]",$B$41,"[MGNREGA].[Persondays Attribute]","[MGNREGA].[Persondays Attribute].&amp;[Persondays of Central Liability so far]")</f>
        <v>175916463</v>
      </c>
    </row>
    <row r="42" spans="2:17" x14ac:dyDescent="1.25">
      <c r="B42" s="2" t="s">
        <v>48</v>
      </c>
      <c r="C42" s="28">
        <v>175916463</v>
      </c>
      <c r="I42" t="s">
        <v>96</v>
      </c>
      <c r="J42" s="34">
        <f>I52</f>
        <v>72507912</v>
      </c>
      <c r="M42" t="s">
        <v>100</v>
      </c>
      <c r="N42" s="34">
        <f>I52</f>
        <v>72507912</v>
      </c>
    </row>
    <row r="43" spans="2:17" x14ac:dyDescent="1.25">
      <c r="B43" s="2" t="s">
        <v>49</v>
      </c>
      <c r="C43" s="28">
        <v>33738219</v>
      </c>
    </row>
    <row r="44" spans="2:17" x14ac:dyDescent="1.25">
      <c r="B44" s="2" t="s">
        <v>50</v>
      </c>
      <c r="C44" s="28">
        <v>50534895</v>
      </c>
    </row>
    <row r="45" spans="2:17" x14ac:dyDescent="1.25">
      <c r="B45" s="2" t="s">
        <v>51</v>
      </c>
      <c r="C45" s="28">
        <v>118387733</v>
      </c>
    </row>
    <row r="48" spans="2:17" x14ac:dyDescent="1.25">
      <c r="B48" s="2" t="s">
        <v>106</v>
      </c>
      <c r="C48" t="s">
        <v>101</v>
      </c>
      <c r="D48" t="s">
        <v>109</v>
      </c>
    </row>
    <row r="49" spans="2:9" x14ac:dyDescent="1.25">
      <c r="B49" s="2" t="s">
        <v>102</v>
      </c>
      <c r="C49">
        <f>GETPIVOTDATA("[Measures].[Sum of Total Persondays]",$B$41,"[MGNREGA].[Persondays Attribute]","[MGNREGA].[Persondays Attribute].&amp;[Persondays of Central Liability so far]")</f>
        <v>175916463</v>
      </c>
    </row>
    <row r="50" spans="2:9" x14ac:dyDescent="1.25">
      <c r="B50" s="2" t="s">
        <v>103</v>
      </c>
      <c r="C50">
        <f>GETPIVOTDATA("[Measures].[Sum of Total Persondays]",$B$41,"[MGNREGA].[Persondays Attribute]","[MGNREGA].[Persondays Attribute].&amp;[SC persondays]")</f>
        <v>33738219</v>
      </c>
      <c r="D50" s="9">
        <f>C50/$C$49</f>
        <v>0.19178545557728727</v>
      </c>
    </row>
    <row r="51" spans="2:9" x14ac:dyDescent="1.25">
      <c r="B51" s="2" t="s">
        <v>104</v>
      </c>
      <c r="C51">
        <f>GETPIVOTDATA("[Measures].[Sum of Total Persondays]",$B$41,"[MGNREGA].[Persondays Attribute]","[MGNREGA].[Persondays Attribute].&amp;[ST persondays]")</f>
        <v>50534895</v>
      </c>
      <c r="D51" s="9">
        <f t="shared" ref="D51:D52" si="0">C51/$C$49</f>
        <v>0.28726643395507562</v>
      </c>
      <c r="I51" t="s">
        <v>107</v>
      </c>
    </row>
    <row r="52" spans="2:9" x14ac:dyDescent="1.25">
      <c r="B52" s="2" t="s">
        <v>105</v>
      </c>
      <c r="C52">
        <f>GETPIVOTDATA("[Measures].[Sum of Total Persondays]",$B$41,"[MGNREGA].[Persondays Attribute]","[MGNREGA].[Persondays Attribute].&amp;[Women Persondays]")</f>
        <v>118387733</v>
      </c>
      <c r="D52" s="9">
        <f t="shared" si="0"/>
        <v>0.67297699704205627</v>
      </c>
      <c r="I52" s="34">
        <f>GETPIVOTDATA("[Measures].[Sum of Total No. of Active Workers]",$B$3)</f>
        <v>72507912</v>
      </c>
    </row>
    <row r="78" spans="5:7" x14ac:dyDescent="1.25">
      <c r="E78" s="2"/>
    </row>
    <row r="79" spans="5:7" x14ac:dyDescent="1.25">
      <c r="E79" s="2"/>
      <c r="G79" s="9"/>
    </row>
    <row r="80" spans="5:7" x14ac:dyDescent="1.25">
      <c r="E80" s="2"/>
      <c r="G80" s="9"/>
    </row>
    <row r="81" spans="2:7" x14ac:dyDescent="1.25">
      <c r="E81" s="2"/>
      <c r="G81" s="9"/>
    </row>
    <row r="84" spans="2:7" x14ac:dyDescent="1.25">
      <c r="B84" s="2"/>
    </row>
    <row r="85" spans="2:7" x14ac:dyDescent="1.25">
      <c r="B85" s="2"/>
      <c r="D85" s="35"/>
    </row>
    <row r="86" spans="2:7" x14ac:dyDescent="1.25">
      <c r="B86" s="2"/>
      <c r="D86" s="35"/>
    </row>
    <row r="87" spans="2:7" x14ac:dyDescent="1.25">
      <c r="B87" s="2"/>
      <c r="D87" s="35"/>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160A-F18C-4F37-AD1B-F0293FD564F1}">
  <dimension ref="A1:U97"/>
  <sheetViews>
    <sheetView topLeftCell="A2" zoomScale="82" zoomScaleNormal="87" workbookViewId="0">
      <selection activeCell="F30" sqref="F30"/>
    </sheetView>
  </sheetViews>
  <sheetFormatPr defaultRowHeight="22.9" x14ac:dyDescent="1.25"/>
  <sheetData>
    <row r="1" spans="1:21" x14ac:dyDescent="1.25">
      <c r="A1" s="33"/>
      <c r="B1" s="33"/>
      <c r="C1" s="33"/>
      <c r="D1" s="33"/>
      <c r="E1" s="33"/>
      <c r="F1" s="33"/>
      <c r="G1" s="33"/>
      <c r="H1" s="33"/>
      <c r="I1" s="33"/>
      <c r="J1" s="33"/>
      <c r="K1" s="33"/>
      <c r="L1" s="33"/>
      <c r="M1" s="33"/>
      <c r="N1" s="33"/>
      <c r="O1" s="33"/>
      <c r="P1" s="33"/>
      <c r="Q1" s="33"/>
      <c r="R1" s="33"/>
      <c r="S1" s="33"/>
      <c r="T1" s="33"/>
      <c r="U1" s="33"/>
    </row>
    <row r="2" spans="1:21" x14ac:dyDescent="1.25">
      <c r="A2" s="33"/>
      <c r="B2" s="33"/>
      <c r="C2" s="33"/>
      <c r="D2" s="33"/>
      <c r="E2" s="33"/>
      <c r="F2" s="33"/>
      <c r="G2" s="33"/>
      <c r="H2" s="33"/>
      <c r="I2" s="33"/>
      <c r="J2" s="33"/>
      <c r="K2" s="33"/>
      <c r="L2" s="33"/>
      <c r="M2" s="33"/>
      <c r="N2" s="33"/>
      <c r="O2" s="33"/>
      <c r="P2" s="33"/>
      <c r="Q2" s="33"/>
      <c r="R2" s="33"/>
      <c r="S2" s="33"/>
      <c r="T2" s="33"/>
      <c r="U2" s="33"/>
    </row>
    <row r="3" spans="1:21" x14ac:dyDescent="1.25">
      <c r="A3" s="33"/>
      <c r="B3" s="33"/>
      <c r="C3" s="33"/>
      <c r="D3" s="33"/>
      <c r="E3" s="33"/>
      <c r="F3" s="33"/>
      <c r="G3" s="33"/>
      <c r="H3" s="33"/>
      <c r="I3" s="33"/>
      <c r="J3" s="33"/>
      <c r="K3" s="33"/>
      <c r="L3" s="33"/>
      <c r="M3" s="33"/>
      <c r="N3" s="33"/>
      <c r="O3" s="33"/>
      <c r="P3" s="33"/>
      <c r="Q3" s="33"/>
      <c r="R3" s="33"/>
      <c r="S3" s="33"/>
      <c r="T3" s="33"/>
      <c r="U3" s="33"/>
    </row>
    <row r="4" spans="1:21" x14ac:dyDescent="1.25">
      <c r="A4" s="33"/>
      <c r="B4" s="33"/>
      <c r="C4" s="33"/>
      <c r="D4" s="33"/>
      <c r="E4" s="33"/>
      <c r="F4" s="33"/>
      <c r="G4" s="33"/>
      <c r="H4" s="33"/>
      <c r="I4" s="33"/>
      <c r="J4" s="33"/>
      <c r="K4" s="33"/>
      <c r="L4" s="33"/>
      <c r="M4" s="33"/>
      <c r="N4" s="33"/>
      <c r="O4" s="33"/>
      <c r="P4" s="33"/>
      <c r="Q4" s="33"/>
      <c r="R4" s="33"/>
      <c r="S4" s="33"/>
      <c r="T4" s="33"/>
      <c r="U4" s="33"/>
    </row>
    <row r="5" spans="1:21" x14ac:dyDescent="1.25">
      <c r="A5" s="33"/>
      <c r="B5" s="33"/>
      <c r="C5" s="33"/>
      <c r="D5" s="33"/>
      <c r="E5" s="33"/>
      <c r="F5" s="33"/>
      <c r="G5" s="33"/>
      <c r="H5" s="33"/>
      <c r="I5" s="33"/>
      <c r="J5" s="33"/>
      <c r="K5" s="33"/>
      <c r="L5" s="33"/>
      <c r="M5" s="33"/>
      <c r="N5" s="33"/>
      <c r="O5" s="33"/>
      <c r="P5" s="33"/>
      <c r="Q5" s="33"/>
      <c r="R5" s="33"/>
      <c r="S5" s="33"/>
      <c r="T5" s="33"/>
      <c r="U5" s="33"/>
    </row>
    <row r="6" spans="1:21" x14ac:dyDescent="1.25">
      <c r="A6" s="33"/>
      <c r="B6" s="33"/>
      <c r="C6" s="33"/>
      <c r="D6" s="33"/>
      <c r="E6" s="33"/>
      <c r="F6" s="33"/>
      <c r="G6" s="33"/>
      <c r="H6" s="33"/>
      <c r="I6" s="33"/>
      <c r="J6" s="33"/>
      <c r="K6" s="33"/>
      <c r="L6" s="33"/>
      <c r="M6" s="33"/>
      <c r="N6" s="33"/>
      <c r="O6" s="33"/>
      <c r="P6" s="33"/>
      <c r="Q6" s="33"/>
      <c r="R6" s="33"/>
      <c r="S6" s="33"/>
      <c r="T6" s="33"/>
      <c r="U6" s="33"/>
    </row>
    <row r="7" spans="1:21" x14ac:dyDescent="1.25">
      <c r="A7" s="33"/>
      <c r="B7" s="33"/>
      <c r="C7" s="33"/>
      <c r="D7" s="33"/>
      <c r="E7" s="33"/>
      <c r="F7" s="33"/>
      <c r="G7" s="33"/>
      <c r="H7" s="33"/>
      <c r="I7" s="33"/>
      <c r="J7" s="33"/>
      <c r="K7" s="33"/>
      <c r="L7" s="33"/>
      <c r="M7" s="33"/>
      <c r="N7" s="33"/>
      <c r="O7" s="33"/>
      <c r="P7" s="33"/>
      <c r="Q7" s="33"/>
      <c r="R7" s="33"/>
      <c r="S7" s="33"/>
      <c r="T7" s="33"/>
      <c r="U7" s="33"/>
    </row>
    <row r="8" spans="1:21" x14ac:dyDescent="1.25">
      <c r="A8" s="33"/>
      <c r="B8" s="33"/>
      <c r="C8" s="33"/>
      <c r="D8" s="33"/>
      <c r="E8" s="33"/>
      <c r="F8" s="33"/>
      <c r="G8" s="33"/>
      <c r="H8" s="33"/>
      <c r="I8" s="33"/>
      <c r="J8" s="33"/>
      <c r="K8" s="33"/>
      <c r="L8" s="33"/>
      <c r="M8" s="33"/>
      <c r="N8" s="33"/>
      <c r="O8" s="33"/>
      <c r="P8" s="33"/>
      <c r="Q8" s="33"/>
      <c r="R8" s="33"/>
      <c r="S8" s="33"/>
      <c r="T8" s="33"/>
      <c r="U8" s="33"/>
    </row>
    <row r="9" spans="1:21" x14ac:dyDescent="1.25">
      <c r="A9" s="33"/>
      <c r="B9" s="33"/>
      <c r="C9" s="33"/>
      <c r="D9" s="33"/>
      <c r="E9" s="33"/>
      <c r="F9" s="33"/>
      <c r="G9" s="33"/>
      <c r="H9" s="33"/>
      <c r="I9" s="33"/>
      <c r="J9" s="33"/>
      <c r="K9" s="33"/>
      <c r="L9" s="33"/>
      <c r="M9" s="33"/>
      <c r="N9" s="33"/>
      <c r="O9" s="33"/>
      <c r="P9" s="33"/>
      <c r="Q9" s="33"/>
      <c r="R9" s="33"/>
      <c r="S9" s="33"/>
      <c r="T9" s="33"/>
      <c r="U9" s="33"/>
    </row>
    <row r="10" spans="1:21" x14ac:dyDescent="1.25">
      <c r="A10" s="33"/>
      <c r="B10" s="33"/>
      <c r="C10" s="33"/>
      <c r="D10" s="33"/>
      <c r="E10" s="33"/>
      <c r="F10" s="33"/>
      <c r="G10" s="33"/>
      <c r="H10" s="33"/>
      <c r="I10" s="33"/>
      <c r="J10" s="33"/>
      <c r="K10" s="33"/>
      <c r="L10" s="33"/>
      <c r="M10" s="33"/>
      <c r="N10" s="33"/>
      <c r="O10" s="33"/>
      <c r="P10" s="33"/>
      <c r="Q10" s="33"/>
      <c r="R10" s="33"/>
      <c r="S10" s="33"/>
      <c r="T10" s="33"/>
      <c r="U10" s="33"/>
    </row>
    <row r="11" spans="1:21" x14ac:dyDescent="1.25">
      <c r="A11" s="33"/>
      <c r="B11" s="33"/>
      <c r="C11" s="33"/>
      <c r="D11" s="33"/>
      <c r="E11" s="33"/>
      <c r="F11" s="33"/>
      <c r="G11" s="33"/>
      <c r="H11" s="33"/>
      <c r="I11" s="33"/>
      <c r="J11" s="33"/>
      <c r="K11" s="33"/>
      <c r="L11" s="33"/>
      <c r="M11" s="33"/>
      <c r="N11" s="33"/>
      <c r="O11" s="33"/>
      <c r="P11" s="33"/>
      <c r="Q11" s="33"/>
      <c r="R11" s="33"/>
      <c r="S11" s="33"/>
      <c r="T11" s="33"/>
      <c r="U11" s="33"/>
    </row>
    <row r="12" spans="1:21" x14ac:dyDescent="1.25">
      <c r="A12" s="33"/>
      <c r="B12" s="33"/>
      <c r="C12" s="33"/>
      <c r="D12" s="33"/>
      <c r="E12" s="33"/>
      <c r="F12" s="33"/>
      <c r="G12" s="33"/>
      <c r="H12" s="33"/>
      <c r="I12" s="33"/>
      <c r="J12" s="33"/>
      <c r="K12" s="33"/>
      <c r="L12" s="33"/>
      <c r="M12" s="33"/>
      <c r="N12" s="33"/>
      <c r="O12" s="33"/>
      <c r="P12" s="33"/>
      <c r="Q12" s="33"/>
      <c r="R12" s="33"/>
      <c r="S12" s="33"/>
      <c r="T12" s="33"/>
      <c r="U12" s="33"/>
    </row>
    <row r="13" spans="1:21" x14ac:dyDescent="1.25">
      <c r="A13" s="33"/>
      <c r="B13" s="33"/>
      <c r="C13" s="33"/>
      <c r="D13" s="33"/>
      <c r="E13" s="33"/>
      <c r="F13" s="33"/>
      <c r="G13" s="33"/>
      <c r="H13" s="33"/>
      <c r="I13" s="33"/>
      <c r="J13" s="33"/>
      <c r="K13" s="33"/>
      <c r="L13" s="33"/>
      <c r="M13" s="33"/>
      <c r="N13" s="33"/>
      <c r="O13" s="33"/>
      <c r="P13" s="33"/>
      <c r="Q13" s="33"/>
      <c r="R13" s="33"/>
      <c r="S13" s="33"/>
      <c r="T13" s="33"/>
      <c r="U13" s="33"/>
    </row>
    <row r="14" spans="1:21" x14ac:dyDescent="1.25">
      <c r="A14" s="33"/>
      <c r="B14" s="33"/>
      <c r="C14" s="33"/>
      <c r="D14" s="33"/>
      <c r="E14" s="33"/>
      <c r="F14" s="33"/>
      <c r="G14" s="33"/>
      <c r="H14" s="33"/>
      <c r="I14" s="33"/>
      <c r="J14" s="33"/>
      <c r="K14" s="33"/>
      <c r="L14" s="33"/>
      <c r="M14" s="33"/>
      <c r="N14" s="33"/>
      <c r="O14" s="33"/>
      <c r="P14" s="33"/>
      <c r="Q14" s="33"/>
      <c r="R14" s="33"/>
      <c r="S14" s="33"/>
      <c r="T14" s="33"/>
      <c r="U14" s="33"/>
    </row>
    <row r="15" spans="1:21" x14ac:dyDescent="1.25">
      <c r="A15" s="33"/>
      <c r="B15" s="33"/>
      <c r="C15" s="33"/>
      <c r="D15" s="33"/>
      <c r="E15" s="33"/>
      <c r="F15" s="33"/>
      <c r="G15" s="33"/>
      <c r="H15" s="33"/>
      <c r="I15" s="33"/>
      <c r="J15" s="33"/>
      <c r="K15" s="33"/>
      <c r="L15" s="33"/>
      <c r="M15" s="33"/>
      <c r="N15" s="33"/>
      <c r="O15" s="33"/>
      <c r="P15" s="33"/>
      <c r="Q15" s="33"/>
      <c r="R15" s="33"/>
      <c r="S15" s="33"/>
      <c r="T15" s="33"/>
      <c r="U15" s="33"/>
    </row>
    <row r="16" spans="1:21" x14ac:dyDescent="1.25">
      <c r="A16" s="33"/>
      <c r="B16" s="33"/>
      <c r="C16" s="33"/>
      <c r="D16" s="33"/>
      <c r="E16" s="33"/>
      <c r="F16" s="33"/>
      <c r="G16" s="33"/>
      <c r="H16" s="33"/>
      <c r="I16" s="33"/>
      <c r="J16" s="33"/>
      <c r="K16" s="33"/>
      <c r="L16" s="33"/>
      <c r="M16" s="33"/>
      <c r="N16" s="33"/>
      <c r="O16" s="33"/>
      <c r="P16" s="33"/>
      <c r="Q16" s="33"/>
      <c r="R16" s="33"/>
      <c r="S16" s="33"/>
      <c r="T16" s="33"/>
      <c r="U16" s="33"/>
    </row>
    <row r="17" spans="1:21" x14ac:dyDescent="1.25">
      <c r="A17" s="33"/>
      <c r="B17" s="33"/>
      <c r="C17" s="33"/>
      <c r="D17" s="33"/>
      <c r="E17" s="33"/>
      <c r="F17" s="33"/>
      <c r="G17" s="33"/>
      <c r="H17" s="33"/>
      <c r="I17" s="33"/>
      <c r="J17" s="33"/>
      <c r="K17" s="33"/>
      <c r="L17" s="33"/>
      <c r="M17" s="33"/>
      <c r="N17" s="33"/>
      <c r="O17" s="33"/>
      <c r="P17" s="33"/>
      <c r="Q17" s="33"/>
      <c r="R17" s="33"/>
      <c r="S17" s="33"/>
      <c r="T17" s="33"/>
      <c r="U17" s="33"/>
    </row>
    <row r="18" spans="1:21" x14ac:dyDescent="1.25">
      <c r="A18" s="33"/>
      <c r="B18" s="33"/>
      <c r="C18" s="33"/>
      <c r="D18" s="33"/>
      <c r="E18" s="33"/>
      <c r="F18" s="33"/>
      <c r="G18" s="33"/>
      <c r="H18" s="33"/>
      <c r="I18" s="33"/>
      <c r="J18" s="33"/>
      <c r="K18" s="33"/>
      <c r="L18" s="33"/>
      <c r="M18" s="33"/>
      <c r="N18" s="33"/>
      <c r="O18" s="33"/>
      <c r="P18" s="33"/>
      <c r="Q18" s="33"/>
      <c r="R18" s="33"/>
      <c r="S18" s="33"/>
      <c r="T18" s="33"/>
      <c r="U18" s="33"/>
    </row>
    <row r="19" spans="1:21" x14ac:dyDescent="1.25">
      <c r="A19" s="33"/>
      <c r="B19" s="33"/>
      <c r="C19" s="33"/>
      <c r="D19" s="33"/>
      <c r="E19" s="33"/>
      <c r="F19" s="33"/>
      <c r="G19" s="33"/>
      <c r="H19" s="33"/>
      <c r="I19" s="33"/>
      <c r="J19" s="33"/>
      <c r="K19" s="33"/>
      <c r="L19" s="33"/>
      <c r="M19" s="33"/>
      <c r="N19" s="33"/>
      <c r="O19" s="33"/>
      <c r="P19" s="33"/>
      <c r="Q19" s="33"/>
      <c r="R19" s="33"/>
      <c r="S19" s="33"/>
      <c r="T19" s="33"/>
      <c r="U19" s="33"/>
    </row>
    <row r="20" spans="1:21" x14ac:dyDescent="1.25">
      <c r="A20" s="33"/>
      <c r="B20" s="33"/>
      <c r="C20" s="33"/>
      <c r="D20" s="33"/>
      <c r="E20" s="33"/>
      <c r="F20" s="33"/>
      <c r="G20" s="33"/>
      <c r="H20" s="33"/>
      <c r="I20" s="33"/>
      <c r="J20" s="33"/>
      <c r="K20" s="33"/>
      <c r="L20" s="33"/>
      <c r="M20" s="33"/>
      <c r="N20" s="33"/>
      <c r="O20" s="33"/>
      <c r="P20" s="33"/>
      <c r="Q20" s="33"/>
      <c r="R20" s="33"/>
      <c r="S20" s="33"/>
      <c r="T20" s="33"/>
      <c r="U20" s="33"/>
    </row>
    <row r="21" spans="1:21" x14ac:dyDescent="1.25">
      <c r="A21" s="33"/>
      <c r="B21" s="33"/>
      <c r="C21" s="33"/>
      <c r="D21" s="33"/>
      <c r="E21" s="33"/>
      <c r="F21" s="33"/>
      <c r="G21" s="33"/>
      <c r="H21" s="33"/>
      <c r="I21" s="33"/>
      <c r="J21" s="33"/>
      <c r="K21" s="33"/>
      <c r="L21" s="33"/>
      <c r="M21" s="33"/>
      <c r="N21" s="33"/>
      <c r="O21" s="33"/>
      <c r="P21" s="33"/>
      <c r="Q21" s="33"/>
      <c r="R21" s="33"/>
      <c r="S21" s="33"/>
      <c r="T21" s="33"/>
      <c r="U21" s="33"/>
    </row>
    <row r="22" spans="1:21" x14ac:dyDescent="1.25">
      <c r="A22" s="33"/>
      <c r="B22" s="33"/>
      <c r="C22" s="33"/>
      <c r="D22" s="33"/>
      <c r="E22" s="33"/>
      <c r="F22" s="33"/>
      <c r="G22" s="33"/>
      <c r="H22" s="33"/>
      <c r="I22" s="33"/>
      <c r="J22" s="33"/>
      <c r="K22" s="33"/>
      <c r="L22" s="33"/>
      <c r="M22" s="33"/>
      <c r="N22" s="33"/>
      <c r="O22" s="33"/>
      <c r="P22" s="33"/>
      <c r="Q22" s="33"/>
      <c r="R22" s="33"/>
      <c r="S22" s="33"/>
      <c r="T22" s="33"/>
      <c r="U22" s="33"/>
    </row>
    <row r="23" spans="1:21" x14ac:dyDescent="1.25">
      <c r="A23" s="33"/>
      <c r="B23" s="33"/>
      <c r="C23" s="33"/>
      <c r="D23" s="33"/>
      <c r="E23" s="33"/>
      <c r="F23" s="33"/>
      <c r="G23" s="33"/>
      <c r="H23" s="33"/>
      <c r="I23" s="33"/>
      <c r="J23" s="33"/>
      <c r="K23" s="33"/>
      <c r="L23" s="33"/>
      <c r="M23" s="33"/>
      <c r="N23" s="33"/>
      <c r="O23" s="33"/>
      <c r="P23" s="33"/>
      <c r="Q23" s="33"/>
      <c r="R23" s="33"/>
      <c r="S23" s="33"/>
      <c r="T23" s="33"/>
      <c r="U23" s="33"/>
    </row>
    <row r="24" spans="1:21" x14ac:dyDescent="1.25">
      <c r="A24" s="33"/>
      <c r="B24" s="33"/>
      <c r="C24" s="33"/>
      <c r="D24" s="33"/>
      <c r="E24" s="33"/>
      <c r="F24" s="33"/>
      <c r="G24" s="33"/>
      <c r="H24" s="33"/>
      <c r="I24" s="33"/>
      <c r="J24" s="33"/>
      <c r="K24" s="33"/>
      <c r="L24" s="33"/>
      <c r="M24" s="33"/>
      <c r="N24" s="33"/>
      <c r="O24" s="33"/>
      <c r="P24" s="33"/>
      <c r="Q24" s="33"/>
      <c r="R24" s="33"/>
      <c r="S24" s="33"/>
      <c r="T24" s="33"/>
      <c r="U24" s="33"/>
    </row>
    <row r="25" spans="1:21" x14ac:dyDescent="1.25">
      <c r="A25" s="33"/>
      <c r="B25" s="33"/>
      <c r="C25" s="33"/>
      <c r="D25" s="33"/>
      <c r="E25" s="33"/>
      <c r="F25" s="33"/>
      <c r="G25" s="33"/>
      <c r="H25" s="33"/>
      <c r="I25" s="33"/>
      <c r="J25" s="33"/>
      <c r="K25" s="33"/>
      <c r="L25" s="33"/>
      <c r="M25" s="33"/>
      <c r="N25" s="33"/>
      <c r="O25" s="33"/>
      <c r="P25" s="33"/>
      <c r="Q25" s="33"/>
      <c r="R25" s="33"/>
      <c r="S25" s="33"/>
      <c r="T25" s="33"/>
      <c r="U25" s="33"/>
    </row>
    <row r="26" spans="1:21" x14ac:dyDescent="1.25">
      <c r="A26" s="33"/>
      <c r="B26" s="33"/>
      <c r="C26" s="33"/>
      <c r="D26" s="33"/>
      <c r="E26" s="33"/>
      <c r="F26" s="33"/>
      <c r="G26" s="33"/>
      <c r="H26" s="33"/>
      <c r="I26" s="33"/>
      <c r="J26" s="33"/>
      <c r="K26" s="33"/>
      <c r="L26" s="33"/>
      <c r="M26" s="33"/>
      <c r="N26" s="33"/>
      <c r="O26" s="33"/>
      <c r="P26" s="33"/>
      <c r="Q26" s="33"/>
      <c r="R26" s="33"/>
      <c r="S26" s="33"/>
      <c r="T26" s="33"/>
      <c r="U26" s="33"/>
    </row>
    <row r="27" spans="1:21" x14ac:dyDescent="1.25">
      <c r="A27" s="33"/>
      <c r="B27" s="33"/>
      <c r="C27" s="33"/>
      <c r="D27" s="33"/>
      <c r="E27" s="33"/>
      <c r="F27" s="33"/>
      <c r="G27" s="33"/>
      <c r="H27" s="33"/>
      <c r="I27" s="33"/>
      <c r="J27" s="33"/>
      <c r="K27" s="33"/>
      <c r="L27" s="33"/>
      <c r="M27" s="33"/>
      <c r="N27" s="33"/>
      <c r="O27" s="33"/>
      <c r="P27" s="33"/>
      <c r="Q27" s="33"/>
      <c r="R27" s="33"/>
      <c r="S27" s="33"/>
      <c r="T27" s="33"/>
      <c r="U27" s="33"/>
    </row>
    <row r="28" spans="1:21" x14ac:dyDescent="1.25">
      <c r="A28" s="33"/>
      <c r="B28" s="33"/>
      <c r="C28" s="33"/>
      <c r="D28" s="33"/>
      <c r="E28" s="33"/>
      <c r="F28" s="33"/>
      <c r="G28" s="33"/>
      <c r="H28" s="33"/>
      <c r="I28" s="33"/>
      <c r="J28" s="33"/>
      <c r="K28" s="33"/>
      <c r="L28" s="33"/>
      <c r="M28" s="33"/>
      <c r="N28" s="33"/>
      <c r="O28" s="33"/>
      <c r="P28" s="33"/>
      <c r="Q28" s="33"/>
      <c r="R28" s="33"/>
      <c r="S28" s="33"/>
      <c r="T28" s="33"/>
      <c r="U28" s="33"/>
    </row>
    <row r="29" spans="1:21" x14ac:dyDescent="1.25">
      <c r="A29" s="33"/>
      <c r="B29" s="33"/>
      <c r="C29" s="33"/>
      <c r="D29" s="33"/>
      <c r="E29" s="33"/>
      <c r="F29" s="33"/>
      <c r="G29" s="33"/>
      <c r="H29" s="33"/>
      <c r="I29" s="33"/>
      <c r="J29" s="33"/>
      <c r="K29" s="33"/>
      <c r="L29" s="33"/>
      <c r="M29" s="33"/>
      <c r="N29" s="33"/>
      <c r="O29" s="33"/>
      <c r="P29" s="33"/>
      <c r="Q29" s="33"/>
      <c r="R29" s="33"/>
      <c r="S29" s="33"/>
      <c r="T29" s="33"/>
      <c r="U29" s="33"/>
    </row>
    <row r="30" spans="1:21" x14ac:dyDescent="1.25">
      <c r="A30" s="33"/>
      <c r="B30" s="33"/>
      <c r="C30" s="33"/>
      <c r="D30" s="33"/>
      <c r="E30" s="33"/>
      <c r="F30" s="33"/>
      <c r="G30" s="33"/>
      <c r="H30" s="33"/>
      <c r="I30" s="33"/>
      <c r="J30" s="33"/>
      <c r="K30" s="33"/>
      <c r="L30" s="33"/>
      <c r="M30" s="33"/>
      <c r="N30" s="33"/>
      <c r="O30" s="33"/>
      <c r="P30" s="33"/>
      <c r="Q30" s="33"/>
      <c r="R30" s="33"/>
      <c r="S30" s="33"/>
      <c r="T30" s="33"/>
      <c r="U30" s="33"/>
    </row>
    <row r="31" spans="1:21" x14ac:dyDescent="1.25">
      <c r="A31" s="33"/>
      <c r="B31" s="33"/>
      <c r="C31" s="33"/>
      <c r="D31" s="33"/>
      <c r="E31" s="33"/>
      <c r="F31" s="33"/>
      <c r="G31" s="33"/>
      <c r="H31" s="33"/>
      <c r="I31" s="33"/>
      <c r="J31" s="33"/>
      <c r="K31" s="33"/>
      <c r="L31" s="33"/>
      <c r="M31" s="33"/>
      <c r="N31" s="33"/>
      <c r="O31" s="33"/>
      <c r="P31" s="33"/>
      <c r="Q31" s="33"/>
      <c r="R31" s="33"/>
      <c r="S31" s="33"/>
      <c r="T31" s="33"/>
      <c r="U31" s="33"/>
    </row>
    <row r="32" spans="1:21" x14ac:dyDescent="1.25">
      <c r="A32" s="33"/>
      <c r="B32" s="33"/>
      <c r="C32" s="33"/>
      <c r="D32" s="33"/>
      <c r="E32" s="33"/>
      <c r="F32" s="33"/>
      <c r="G32" s="33"/>
      <c r="H32" s="33"/>
      <c r="I32" s="33"/>
      <c r="J32" s="33"/>
      <c r="K32" s="33"/>
      <c r="L32" s="33"/>
      <c r="M32" s="33"/>
      <c r="N32" s="33"/>
      <c r="O32" s="33"/>
      <c r="P32" s="33"/>
      <c r="Q32" s="33"/>
      <c r="R32" s="33"/>
      <c r="S32" s="33"/>
      <c r="T32" s="33"/>
      <c r="U32" s="33"/>
    </row>
    <row r="33" spans="1:21" x14ac:dyDescent="1.25">
      <c r="A33" s="33"/>
      <c r="B33" s="33"/>
      <c r="C33" s="33"/>
      <c r="D33" s="33"/>
      <c r="E33" s="33"/>
      <c r="F33" s="33"/>
      <c r="G33" s="33"/>
      <c r="H33" s="33"/>
      <c r="I33" s="33"/>
      <c r="J33" s="33"/>
      <c r="K33" s="33"/>
      <c r="L33" s="33"/>
      <c r="M33" s="33"/>
      <c r="N33" s="33"/>
      <c r="O33" s="33"/>
      <c r="P33" s="33"/>
      <c r="Q33" s="33"/>
      <c r="R33" s="33"/>
      <c r="S33" s="33"/>
      <c r="T33" s="33"/>
      <c r="U33" s="33"/>
    </row>
    <row r="34" spans="1:21" x14ac:dyDescent="1.25">
      <c r="A34" s="33"/>
      <c r="B34" s="33"/>
      <c r="C34" s="33"/>
      <c r="D34" s="33"/>
      <c r="E34" s="33"/>
      <c r="F34" s="33"/>
      <c r="G34" s="33"/>
      <c r="H34" s="33"/>
      <c r="I34" s="33"/>
      <c r="J34" s="33"/>
      <c r="K34" s="33"/>
      <c r="L34" s="33"/>
      <c r="M34" s="33"/>
      <c r="N34" s="33"/>
      <c r="O34" s="33"/>
      <c r="P34" s="33"/>
      <c r="Q34" s="33"/>
      <c r="R34" s="33"/>
      <c r="S34" s="33"/>
      <c r="T34" s="33"/>
      <c r="U34" s="33"/>
    </row>
    <row r="35" spans="1:21" x14ac:dyDescent="1.25">
      <c r="A35" s="33"/>
      <c r="B35" s="33"/>
      <c r="C35" s="33"/>
      <c r="D35" s="33"/>
      <c r="E35" s="33"/>
      <c r="F35" s="33"/>
      <c r="G35" s="33"/>
      <c r="H35" s="33"/>
      <c r="I35" s="33"/>
      <c r="J35" s="33"/>
      <c r="K35" s="33"/>
      <c r="L35" s="33"/>
      <c r="M35" s="33"/>
      <c r="N35" s="33"/>
      <c r="O35" s="33"/>
      <c r="P35" s="33"/>
      <c r="Q35" s="33"/>
      <c r="R35" s="33"/>
      <c r="S35" s="33"/>
      <c r="T35" s="33"/>
      <c r="U35" s="33"/>
    </row>
    <row r="36" spans="1:21" x14ac:dyDescent="1.25">
      <c r="A36" s="33"/>
      <c r="B36" s="33"/>
      <c r="C36" s="33"/>
      <c r="D36" s="33"/>
      <c r="E36" s="33"/>
      <c r="F36" s="33"/>
      <c r="G36" s="33"/>
      <c r="H36" s="33"/>
      <c r="I36" s="33"/>
      <c r="J36" s="33"/>
      <c r="K36" s="33"/>
      <c r="L36" s="33"/>
      <c r="M36" s="33"/>
      <c r="N36" s="33"/>
      <c r="O36" s="33"/>
      <c r="P36" s="33"/>
      <c r="Q36" s="33"/>
      <c r="R36" s="33"/>
      <c r="S36" s="33"/>
      <c r="T36" s="33"/>
      <c r="U36" s="33"/>
    </row>
    <row r="37" spans="1:21" x14ac:dyDescent="1.25">
      <c r="A37" s="33"/>
      <c r="B37" s="33"/>
      <c r="C37" s="33"/>
      <c r="D37" s="33"/>
      <c r="E37" s="33"/>
      <c r="F37" s="33"/>
      <c r="G37" s="33"/>
      <c r="H37" s="33"/>
      <c r="I37" s="33"/>
      <c r="J37" s="33"/>
      <c r="K37" s="33"/>
      <c r="L37" s="33"/>
      <c r="M37" s="33"/>
      <c r="N37" s="33"/>
      <c r="O37" s="33"/>
      <c r="P37" s="33"/>
      <c r="Q37" s="33"/>
      <c r="R37" s="33"/>
      <c r="S37" s="33"/>
      <c r="T37" s="33"/>
      <c r="U37" s="33"/>
    </row>
    <row r="38" spans="1:21" x14ac:dyDescent="1.25">
      <c r="A38" s="33"/>
      <c r="B38" s="33"/>
      <c r="C38" s="33"/>
      <c r="D38" s="33"/>
      <c r="E38" s="33"/>
      <c r="F38" s="33"/>
      <c r="G38" s="33"/>
      <c r="H38" s="33"/>
      <c r="I38" s="33"/>
      <c r="J38" s="33"/>
      <c r="K38" s="33"/>
      <c r="L38" s="33"/>
      <c r="M38" s="33"/>
      <c r="N38" s="33"/>
      <c r="O38" s="33"/>
      <c r="P38" s="33"/>
      <c r="Q38" s="33"/>
      <c r="R38" s="33"/>
      <c r="S38" s="33"/>
      <c r="T38" s="33"/>
      <c r="U38" s="33"/>
    </row>
    <row r="39" spans="1:21" x14ac:dyDescent="1.25">
      <c r="A39" s="33"/>
      <c r="B39" s="33"/>
      <c r="C39" s="33"/>
      <c r="D39" s="33"/>
      <c r="E39" s="33"/>
      <c r="F39" s="33"/>
      <c r="G39" s="33"/>
      <c r="H39" s="33"/>
      <c r="I39" s="33"/>
      <c r="J39" s="33"/>
      <c r="K39" s="33"/>
      <c r="L39" s="33"/>
      <c r="M39" s="33"/>
      <c r="N39" s="33"/>
      <c r="O39" s="33"/>
      <c r="P39" s="33"/>
      <c r="Q39" s="33"/>
      <c r="R39" s="33"/>
      <c r="S39" s="33"/>
      <c r="T39" s="33"/>
      <c r="U39" s="33"/>
    </row>
    <row r="40" spans="1:21" x14ac:dyDescent="1.25">
      <c r="A40" s="33"/>
      <c r="B40" s="33"/>
      <c r="C40" s="33"/>
      <c r="D40" s="33"/>
      <c r="E40" s="33"/>
      <c r="F40" s="33"/>
      <c r="G40" s="33"/>
      <c r="H40" s="33"/>
      <c r="I40" s="33"/>
      <c r="J40" s="33"/>
      <c r="K40" s="33"/>
      <c r="L40" s="33"/>
      <c r="M40" s="33"/>
      <c r="N40" s="33"/>
      <c r="O40" s="33"/>
      <c r="P40" s="33"/>
      <c r="Q40" s="33"/>
      <c r="R40" s="33"/>
      <c r="S40" s="33"/>
      <c r="T40" s="33"/>
      <c r="U40" s="33"/>
    </row>
    <row r="41" spans="1:21" x14ac:dyDescent="1.25">
      <c r="A41" s="33"/>
      <c r="B41" s="33"/>
      <c r="C41" s="33"/>
      <c r="D41" s="33"/>
      <c r="E41" s="33"/>
      <c r="F41" s="33"/>
      <c r="G41" s="33"/>
      <c r="H41" s="33"/>
      <c r="I41" s="33"/>
      <c r="J41" s="33"/>
      <c r="K41" s="33"/>
      <c r="L41" s="33"/>
      <c r="M41" s="33"/>
      <c r="N41" s="33"/>
      <c r="O41" s="33"/>
      <c r="P41" s="33"/>
      <c r="Q41" s="33"/>
      <c r="R41" s="33"/>
      <c r="S41" s="33"/>
      <c r="T41" s="33"/>
      <c r="U41" s="33"/>
    </row>
    <row r="42" spans="1:21" x14ac:dyDescent="1.25">
      <c r="A42" s="33"/>
      <c r="B42" s="33"/>
      <c r="C42" s="33"/>
      <c r="D42" s="33"/>
      <c r="E42" s="33"/>
      <c r="F42" s="33"/>
      <c r="G42" s="33"/>
      <c r="H42" s="33"/>
      <c r="I42" s="33"/>
      <c r="J42" s="33"/>
      <c r="K42" s="33"/>
      <c r="L42" s="33"/>
      <c r="M42" s="33"/>
      <c r="N42" s="33"/>
      <c r="O42" s="33"/>
      <c r="P42" s="33"/>
      <c r="Q42" s="33"/>
      <c r="R42" s="33"/>
      <c r="S42" s="33"/>
      <c r="T42" s="33"/>
      <c r="U42" s="33"/>
    </row>
    <row r="43" spans="1:21" x14ac:dyDescent="1.25">
      <c r="A43" s="33"/>
      <c r="B43" s="33"/>
      <c r="C43" s="33"/>
      <c r="D43" s="33"/>
      <c r="E43" s="33"/>
      <c r="F43" s="33"/>
      <c r="G43" s="33"/>
      <c r="H43" s="33"/>
      <c r="I43" s="33"/>
      <c r="J43" s="33"/>
      <c r="K43" s="33"/>
      <c r="L43" s="33"/>
      <c r="M43" s="33"/>
      <c r="N43" s="33"/>
      <c r="O43" s="33"/>
      <c r="P43" s="33"/>
      <c r="Q43" s="33"/>
      <c r="R43" s="33"/>
      <c r="S43" s="33"/>
      <c r="T43" s="33"/>
      <c r="U43" s="33"/>
    </row>
    <row r="44" spans="1:21" x14ac:dyDescent="1.25">
      <c r="A44" s="33"/>
      <c r="B44" s="33"/>
      <c r="C44" s="33"/>
      <c r="D44" s="33"/>
      <c r="E44" s="33"/>
      <c r="F44" s="33"/>
      <c r="G44" s="33"/>
      <c r="H44" s="33"/>
      <c r="I44" s="33"/>
      <c r="J44" s="33"/>
      <c r="K44" s="33"/>
      <c r="L44" s="33"/>
      <c r="M44" s="33"/>
      <c r="N44" s="33"/>
      <c r="O44" s="33"/>
      <c r="P44" s="33"/>
      <c r="Q44" s="33"/>
      <c r="R44" s="33"/>
      <c r="S44" s="33"/>
      <c r="T44" s="33"/>
      <c r="U44" s="33"/>
    </row>
    <row r="45" spans="1:21" x14ac:dyDescent="1.25">
      <c r="A45" s="33"/>
      <c r="B45" s="33"/>
      <c r="C45" s="33"/>
      <c r="D45" s="33"/>
      <c r="E45" s="33"/>
      <c r="F45" s="33"/>
      <c r="G45" s="33"/>
      <c r="H45" s="33"/>
      <c r="I45" s="33"/>
      <c r="J45" s="33"/>
      <c r="K45" s="33"/>
      <c r="L45" s="33"/>
      <c r="M45" s="33"/>
      <c r="N45" s="33"/>
      <c r="O45" s="33"/>
      <c r="P45" s="33"/>
      <c r="Q45" s="33"/>
      <c r="R45" s="33"/>
      <c r="S45" s="33"/>
      <c r="T45" s="33"/>
      <c r="U45" s="33"/>
    </row>
    <row r="46" spans="1:21" x14ac:dyDescent="1.25">
      <c r="A46" s="33"/>
      <c r="B46" s="33"/>
      <c r="C46" s="33"/>
      <c r="D46" s="33"/>
      <c r="E46" s="33"/>
      <c r="F46" s="33"/>
      <c r="G46" s="33"/>
      <c r="H46" s="33"/>
      <c r="I46" s="33"/>
      <c r="J46" s="33"/>
      <c r="K46" s="33"/>
      <c r="L46" s="33"/>
      <c r="M46" s="33"/>
      <c r="N46" s="33"/>
      <c r="O46" s="33"/>
      <c r="P46" s="33"/>
      <c r="Q46" s="33"/>
      <c r="R46" s="33"/>
      <c r="S46" s="33"/>
      <c r="T46" s="33"/>
      <c r="U46" s="33"/>
    </row>
    <row r="47" spans="1:21" x14ac:dyDescent="1.25">
      <c r="A47" s="33"/>
      <c r="B47" s="33"/>
      <c r="C47" s="33"/>
      <c r="D47" s="33"/>
      <c r="E47" s="33"/>
      <c r="F47" s="33"/>
      <c r="G47" s="33"/>
      <c r="H47" s="33"/>
      <c r="I47" s="33"/>
      <c r="J47" s="33"/>
      <c r="K47" s="33"/>
      <c r="L47" s="33"/>
      <c r="M47" s="33"/>
      <c r="N47" s="33"/>
      <c r="O47" s="33"/>
      <c r="P47" s="33"/>
      <c r="Q47" s="33"/>
      <c r="R47" s="33"/>
      <c r="S47" s="33"/>
      <c r="T47" s="33"/>
      <c r="U47" s="33"/>
    </row>
    <row r="48" spans="1:21" x14ac:dyDescent="1.25">
      <c r="A48" s="33"/>
      <c r="B48" s="33"/>
      <c r="C48" s="33"/>
      <c r="D48" s="33"/>
      <c r="E48" s="33"/>
      <c r="F48" s="33"/>
      <c r="G48" s="33"/>
      <c r="H48" s="33"/>
      <c r="I48" s="33"/>
      <c r="J48" s="33"/>
      <c r="K48" s="33"/>
      <c r="L48" s="33"/>
      <c r="M48" s="33"/>
      <c r="N48" s="33"/>
      <c r="O48" s="33"/>
      <c r="P48" s="33"/>
      <c r="Q48" s="33"/>
      <c r="R48" s="33"/>
      <c r="S48" s="33"/>
      <c r="T48" s="33"/>
      <c r="U48" s="33"/>
    </row>
    <row r="49" spans="1:21" x14ac:dyDescent="1.25">
      <c r="A49" s="33"/>
      <c r="B49" s="33"/>
      <c r="C49" s="33"/>
      <c r="D49" s="33"/>
      <c r="E49" s="33"/>
      <c r="F49" s="33"/>
      <c r="G49" s="33"/>
      <c r="H49" s="33"/>
      <c r="I49" s="33"/>
      <c r="J49" s="33"/>
      <c r="K49" s="33"/>
      <c r="L49" s="33"/>
      <c r="M49" s="33"/>
      <c r="N49" s="33"/>
      <c r="O49" s="33"/>
      <c r="P49" s="33"/>
      <c r="Q49" s="33"/>
      <c r="R49" s="33"/>
      <c r="S49" s="33"/>
      <c r="T49" s="33"/>
      <c r="U49" s="33"/>
    </row>
    <row r="50" spans="1:21" x14ac:dyDescent="1.25">
      <c r="A50" s="33"/>
      <c r="B50" s="33"/>
      <c r="C50" s="33"/>
      <c r="D50" s="33"/>
      <c r="E50" s="33"/>
      <c r="F50" s="33"/>
      <c r="G50" s="33"/>
      <c r="H50" s="33"/>
      <c r="I50" s="33"/>
      <c r="J50" s="33"/>
      <c r="K50" s="33"/>
      <c r="L50" s="33"/>
      <c r="M50" s="33"/>
      <c r="N50" s="33"/>
      <c r="O50" s="33"/>
      <c r="P50" s="33"/>
      <c r="Q50" s="33"/>
      <c r="R50" s="33"/>
      <c r="S50" s="33"/>
      <c r="T50" s="33"/>
      <c r="U50" s="33"/>
    </row>
    <row r="51" spans="1:21" x14ac:dyDescent="1.25">
      <c r="A51" s="33"/>
      <c r="B51" s="33"/>
      <c r="C51" s="33"/>
      <c r="D51" s="33"/>
      <c r="E51" s="33"/>
      <c r="F51" s="33"/>
      <c r="G51" s="33"/>
      <c r="H51" s="33"/>
      <c r="I51" s="33"/>
      <c r="J51" s="33"/>
      <c r="K51" s="33"/>
      <c r="L51" s="33"/>
      <c r="M51" s="33"/>
      <c r="N51" s="33"/>
      <c r="O51" s="33"/>
      <c r="P51" s="33"/>
      <c r="Q51" s="33"/>
      <c r="R51" s="33"/>
      <c r="S51" s="33"/>
      <c r="T51" s="33"/>
      <c r="U51" s="33"/>
    </row>
    <row r="52" spans="1:21" x14ac:dyDescent="1.25">
      <c r="A52" s="33"/>
      <c r="B52" s="33"/>
      <c r="C52" s="33"/>
      <c r="D52" s="33"/>
      <c r="E52" s="33"/>
      <c r="F52" s="33"/>
      <c r="G52" s="33"/>
      <c r="H52" s="33"/>
      <c r="I52" s="33"/>
      <c r="J52" s="33"/>
      <c r="K52" s="33"/>
      <c r="L52" s="33"/>
      <c r="M52" s="33"/>
      <c r="N52" s="33"/>
      <c r="O52" s="33"/>
      <c r="P52" s="33"/>
      <c r="Q52" s="33"/>
      <c r="R52" s="33"/>
      <c r="S52" s="33"/>
      <c r="T52" s="33"/>
      <c r="U52" s="33"/>
    </row>
    <row r="53" spans="1:21" x14ac:dyDescent="1.25">
      <c r="A53" s="33"/>
      <c r="B53" s="33"/>
      <c r="C53" s="33"/>
      <c r="D53" s="33"/>
      <c r="E53" s="33"/>
      <c r="F53" s="33"/>
      <c r="G53" s="33"/>
      <c r="H53" s="33"/>
      <c r="I53" s="33"/>
      <c r="J53" s="33"/>
      <c r="K53" s="33"/>
      <c r="L53" s="33"/>
      <c r="M53" s="33"/>
      <c r="N53" s="33"/>
      <c r="O53" s="33"/>
      <c r="P53" s="33"/>
      <c r="Q53" s="33"/>
      <c r="R53" s="33"/>
      <c r="S53" s="33"/>
      <c r="T53" s="33"/>
      <c r="U53" s="33"/>
    </row>
    <row r="54" spans="1:21" x14ac:dyDescent="1.25">
      <c r="A54" s="33"/>
      <c r="B54" s="33"/>
      <c r="C54" s="33"/>
      <c r="D54" s="33"/>
      <c r="E54" s="33"/>
      <c r="F54" s="33"/>
      <c r="G54" s="33"/>
      <c r="H54" s="33"/>
      <c r="I54" s="33"/>
      <c r="J54" s="33"/>
      <c r="K54" s="33"/>
      <c r="L54" s="33"/>
      <c r="M54" s="33"/>
      <c r="N54" s="33"/>
      <c r="O54" s="33"/>
      <c r="P54" s="33"/>
      <c r="Q54" s="33"/>
      <c r="R54" s="33"/>
      <c r="S54" s="33"/>
      <c r="T54" s="33"/>
      <c r="U54" s="33"/>
    </row>
    <row r="55" spans="1:21" x14ac:dyDescent="1.25">
      <c r="A55" s="33"/>
      <c r="B55" s="33"/>
      <c r="C55" s="33"/>
      <c r="D55" s="33"/>
      <c r="E55" s="33"/>
      <c r="F55" s="33"/>
      <c r="G55" s="33"/>
      <c r="H55" s="33"/>
      <c r="I55" s="33"/>
      <c r="J55" s="33"/>
      <c r="K55" s="33"/>
      <c r="L55" s="33"/>
      <c r="M55" s="33"/>
      <c r="N55" s="33"/>
      <c r="O55" s="33"/>
      <c r="P55" s="33"/>
      <c r="Q55" s="33"/>
      <c r="R55" s="33"/>
      <c r="S55" s="33"/>
      <c r="T55" s="33"/>
      <c r="U55" s="33"/>
    </row>
    <row r="56" spans="1:21" x14ac:dyDescent="1.25">
      <c r="A56" s="33"/>
      <c r="B56" s="33"/>
      <c r="C56" s="33"/>
      <c r="D56" s="33"/>
      <c r="E56" s="33"/>
      <c r="F56" s="33"/>
      <c r="G56" s="33"/>
      <c r="H56" s="33"/>
      <c r="I56" s="33"/>
      <c r="J56" s="33"/>
      <c r="K56" s="33"/>
      <c r="L56" s="33"/>
      <c r="M56" s="33"/>
      <c r="N56" s="33"/>
      <c r="O56" s="33"/>
      <c r="P56" s="33"/>
      <c r="Q56" s="33"/>
      <c r="R56" s="33"/>
      <c r="S56" s="33"/>
      <c r="T56" s="33"/>
      <c r="U56" s="33"/>
    </row>
    <row r="57" spans="1:21" x14ac:dyDescent="1.25">
      <c r="A57" s="33"/>
      <c r="B57" s="33"/>
      <c r="C57" s="33"/>
      <c r="D57" s="33"/>
      <c r="E57" s="33"/>
      <c r="F57" s="33"/>
      <c r="G57" s="33"/>
      <c r="H57" s="33"/>
      <c r="I57" s="33"/>
      <c r="J57" s="33"/>
      <c r="K57" s="33"/>
      <c r="L57" s="33"/>
      <c r="M57" s="33"/>
      <c r="N57" s="33"/>
      <c r="O57" s="33"/>
      <c r="P57" s="33"/>
      <c r="Q57" s="33"/>
      <c r="R57" s="33"/>
      <c r="S57" s="33"/>
      <c r="T57" s="33"/>
      <c r="U57" s="33"/>
    </row>
    <row r="58" spans="1:21" x14ac:dyDescent="1.25">
      <c r="A58" s="33"/>
      <c r="B58" s="33"/>
      <c r="C58" s="33"/>
      <c r="D58" s="33"/>
      <c r="E58" s="33"/>
      <c r="F58" s="33"/>
      <c r="G58" s="33"/>
      <c r="H58" s="33"/>
      <c r="I58" s="33"/>
      <c r="J58" s="33"/>
      <c r="K58" s="33"/>
      <c r="L58" s="33"/>
      <c r="M58" s="33"/>
      <c r="N58" s="33"/>
      <c r="O58" s="33"/>
      <c r="P58" s="33"/>
      <c r="Q58" s="33"/>
      <c r="R58" s="33"/>
      <c r="S58" s="33"/>
      <c r="T58" s="33"/>
      <c r="U58" s="33"/>
    </row>
    <row r="59" spans="1:21" x14ac:dyDescent="1.25">
      <c r="A59" s="33"/>
      <c r="B59" s="33"/>
      <c r="C59" s="33"/>
      <c r="D59" s="33"/>
      <c r="E59" s="33"/>
      <c r="F59" s="33"/>
      <c r="G59" s="33"/>
      <c r="H59" s="33"/>
      <c r="I59" s="33"/>
      <c r="J59" s="33"/>
      <c r="K59" s="33"/>
      <c r="L59" s="33"/>
      <c r="M59" s="33"/>
      <c r="N59" s="33"/>
      <c r="O59" s="33"/>
      <c r="P59" s="33"/>
      <c r="Q59" s="33"/>
      <c r="R59" s="33"/>
      <c r="S59" s="33"/>
      <c r="T59" s="33"/>
      <c r="U59" s="33"/>
    </row>
    <row r="60" spans="1:21" x14ac:dyDescent="1.25">
      <c r="A60" s="33"/>
      <c r="B60" s="33"/>
      <c r="C60" s="33"/>
      <c r="D60" s="33"/>
      <c r="E60" s="33"/>
      <c r="F60" s="33"/>
      <c r="G60" s="33"/>
      <c r="H60" s="33"/>
      <c r="I60" s="33"/>
      <c r="J60" s="33"/>
      <c r="K60" s="33"/>
      <c r="L60" s="33"/>
      <c r="M60" s="33"/>
      <c r="N60" s="33"/>
      <c r="O60" s="33"/>
      <c r="P60" s="33"/>
      <c r="Q60" s="33"/>
      <c r="R60" s="33"/>
      <c r="S60" s="33"/>
      <c r="T60" s="33"/>
      <c r="U60" s="33"/>
    </row>
    <row r="61" spans="1:21" x14ac:dyDescent="1.25">
      <c r="A61" s="33"/>
      <c r="B61" s="33"/>
      <c r="C61" s="33"/>
      <c r="D61" s="33"/>
      <c r="E61" s="33"/>
      <c r="F61" s="33"/>
      <c r="G61" s="33"/>
      <c r="H61" s="33"/>
      <c r="I61" s="33"/>
      <c r="J61" s="33"/>
      <c r="K61" s="33"/>
      <c r="L61" s="33"/>
      <c r="M61" s="33"/>
      <c r="N61" s="33"/>
      <c r="O61" s="33"/>
      <c r="P61" s="33"/>
      <c r="Q61" s="33"/>
      <c r="R61" s="33"/>
      <c r="S61" s="33"/>
      <c r="T61" s="33"/>
      <c r="U61" s="33"/>
    </row>
    <row r="62" spans="1:21" x14ac:dyDescent="1.25">
      <c r="A62" s="33"/>
      <c r="B62" s="33"/>
      <c r="C62" s="33"/>
      <c r="D62" s="33"/>
      <c r="E62" s="33"/>
      <c r="F62" s="33"/>
      <c r="G62" s="33"/>
      <c r="H62" s="33"/>
      <c r="I62" s="33"/>
      <c r="J62" s="33"/>
      <c r="K62" s="33"/>
      <c r="L62" s="33"/>
      <c r="M62" s="33"/>
      <c r="N62" s="33"/>
      <c r="O62" s="33"/>
      <c r="P62" s="33"/>
      <c r="Q62" s="33"/>
      <c r="R62" s="33"/>
      <c r="S62" s="33"/>
      <c r="T62" s="33"/>
      <c r="U62" s="33"/>
    </row>
    <row r="63" spans="1:21" x14ac:dyDescent="1.25">
      <c r="A63" s="33"/>
      <c r="B63" s="33"/>
      <c r="C63" s="33"/>
      <c r="D63" s="33"/>
      <c r="E63" s="33"/>
      <c r="F63" s="33"/>
      <c r="G63" s="33"/>
      <c r="H63" s="33"/>
      <c r="I63" s="33"/>
      <c r="J63" s="33"/>
      <c r="K63" s="33"/>
      <c r="L63" s="33"/>
      <c r="M63" s="33"/>
      <c r="N63" s="33"/>
      <c r="O63" s="33"/>
      <c r="P63" s="33"/>
      <c r="Q63" s="33"/>
      <c r="R63" s="33"/>
      <c r="S63" s="33"/>
      <c r="T63" s="33"/>
      <c r="U63" s="33"/>
    </row>
    <row r="64" spans="1:21" x14ac:dyDescent="1.25">
      <c r="A64" s="33"/>
      <c r="B64" s="33"/>
      <c r="C64" s="33"/>
      <c r="D64" s="33"/>
      <c r="E64" s="33"/>
      <c r="F64" s="33"/>
      <c r="G64" s="33"/>
      <c r="H64" s="33"/>
      <c r="I64" s="33"/>
      <c r="J64" s="33"/>
      <c r="K64" s="33"/>
      <c r="L64" s="33"/>
      <c r="M64" s="33"/>
      <c r="N64" s="33"/>
      <c r="O64" s="33"/>
      <c r="P64" s="33"/>
      <c r="Q64" s="33"/>
      <c r="R64" s="33"/>
      <c r="S64" s="33"/>
      <c r="T64" s="33"/>
      <c r="U64" s="33"/>
    </row>
    <row r="65" spans="1:21" x14ac:dyDescent="1.25">
      <c r="A65" s="33"/>
      <c r="B65" s="33"/>
      <c r="C65" s="33"/>
      <c r="D65" s="33"/>
      <c r="E65" s="33"/>
      <c r="F65" s="33"/>
      <c r="G65" s="33"/>
      <c r="H65" s="33"/>
      <c r="I65" s="33"/>
      <c r="J65" s="33"/>
      <c r="K65" s="33"/>
      <c r="L65" s="33"/>
      <c r="M65" s="33"/>
      <c r="N65" s="33"/>
      <c r="O65" s="33"/>
      <c r="P65" s="33"/>
      <c r="Q65" s="33"/>
      <c r="R65" s="33"/>
      <c r="S65" s="33"/>
      <c r="T65" s="33"/>
      <c r="U65" s="33"/>
    </row>
    <row r="66" spans="1:21" x14ac:dyDescent="1.25">
      <c r="A66" s="33"/>
      <c r="B66" s="33"/>
      <c r="C66" s="33"/>
      <c r="D66" s="33"/>
      <c r="E66" s="33"/>
      <c r="F66" s="33"/>
      <c r="G66" s="33"/>
      <c r="H66" s="33"/>
      <c r="I66" s="33"/>
      <c r="J66" s="33"/>
      <c r="K66" s="33"/>
      <c r="L66" s="33"/>
      <c r="M66" s="33"/>
      <c r="N66" s="33"/>
      <c r="O66" s="33"/>
      <c r="P66" s="33"/>
      <c r="Q66" s="33"/>
      <c r="R66" s="33"/>
      <c r="S66" s="33"/>
      <c r="T66" s="33"/>
      <c r="U66" s="33"/>
    </row>
    <row r="67" spans="1:21" x14ac:dyDescent="1.25">
      <c r="A67" s="33"/>
      <c r="B67" s="33"/>
      <c r="C67" s="33"/>
      <c r="D67" s="33"/>
      <c r="E67" s="33"/>
      <c r="F67" s="33"/>
      <c r="G67" s="33"/>
      <c r="H67" s="33"/>
      <c r="I67" s="33"/>
      <c r="J67" s="33"/>
      <c r="K67" s="33"/>
      <c r="L67" s="33"/>
      <c r="M67" s="33"/>
      <c r="N67" s="33"/>
      <c r="O67" s="33"/>
      <c r="P67" s="33"/>
      <c r="Q67" s="33"/>
      <c r="R67" s="33"/>
      <c r="S67" s="33"/>
      <c r="T67" s="33"/>
      <c r="U67" s="33"/>
    </row>
    <row r="68" spans="1:21" x14ac:dyDescent="1.25">
      <c r="A68" s="33"/>
      <c r="B68" s="33"/>
      <c r="C68" s="33"/>
      <c r="D68" s="33"/>
      <c r="E68" s="33"/>
      <c r="F68" s="33"/>
      <c r="G68" s="33"/>
      <c r="H68" s="33"/>
      <c r="I68" s="33"/>
      <c r="J68" s="33"/>
      <c r="K68" s="33"/>
      <c r="L68" s="33"/>
      <c r="M68" s="33"/>
      <c r="N68" s="33"/>
      <c r="O68" s="33"/>
      <c r="P68" s="33"/>
      <c r="Q68" s="33"/>
      <c r="R68" s="33"/>
      <c r="S68" s="33"/>
      <c r="T68" s="33"/>
      <c r="U68" s="33"/>
    </row>
    <row r="69" spans="1:21" x14ac:dyDescent="1.25">
      <c r="A69" s="33"/>
      <c r="B69" s="33"/>
      <c r="C69" s="33"/>
      <c r="D69" s="33"/>
      <c r="E69" s="33"/>
      <c r="F69" s="33"/>
      <c r="G69" s="33"/>
      <c r="H69" s="33"/>
      <c r="I69" s="33"/>
      <c r="J69" s="33"/>
      <c r="K69" s="33"/>
      <c r="L69" s="33"/>
      <c r="M69" s="33"/>
      <c r="N69" s="33"/>
      <c r="O69" s="33"/>
      <c r="P69" s="33"/>
      <c r="Q69" s="33"/>
      <c r="R69" s="33"/>
      <c r="S69" s="33"/>
      <c r="T69" s="33"/>
      <c r="U69" s="33"/>
    </row>
    <row r="70" spans="1:21" x14ac:dyDescent="1.25">
      <c r="A70" s="33"/>
      <c r="B70" s="33"/>
      <c r="C70" s="33"/>
      <c r="D70" s="33"/>
      <c r="E70" s="33"/>
      <c r="F70" s="33"/>
      <c r="G70" s="33"/>
      <c r="H70" s="33"/>
      <c r="I70" s="33"/>
      <c r="J70" s="33"/>
      <c r="K70" s="33"/>
      <c r="L70" s="33"/>
      <c r="M70" s="33"/>
      <c r="N70" s="33"/>
      <c r="O70" s="33"/>
      <c r="P70" s="33"/>
      <c r="Q70" s="33"/>
      <c r="R70" s="33"/>
      <c r="S70" s="33"/>
      <c r="T70" s="33"/>
      <c r="U70" s="33"/>
    </row>
    <row r="71" spans="1:21" x14ac:dyDescent="1.25">
      <c r="A71" s="33"/>
      <c r="B71" s="33"/>
      <c r="C71" s="33"/>
      <c r="D71" s="33"/>
      <c r="E71" s="33"/>
      <c r="F71" s="33"/>
      <c r="G71" s="33"/>
      <c r="H71" s="33"/>
      <c r="I71" s="33"/>
      <c r="J71" s="33"/>
      <c r="K71" s="33"/>
      <c r="L71" s="33"/>
      <c r="M71" s="33"/>
      <c r="N71" s="33"/>
      <c r="O71" s="33"/>
      <c r="P71" s="33"/>
      <c r="Q71" s="33"/>
      <c r="R71" s="33"/>
      <c r="S71" s="33"/>
      <c r="T71" s="33"/>
      <c r="U71" s="33"/>
    </row>
    <row r="72" spans="1:21" x14ac:dyDescent="1.25">
      <c r="A72" s="33"/>
      <c r="B72" s="33"/>
      <c r="C72" s="33"/>
      <c r="D72" s="33"/>
      <c r="E72" s="33"/>
      <c r="F72" s="33"/>
      <c r="G72" s="33"/>
      <c r="H72" s="33"/>
      <c r="I72" s="33"/>
      <c r="J72" s="33"/>
      <c r="K72" s="33"/>
      <c r="L72" s="33"/>
      <c r="M72" s="33"/>
      <c r="N72" s="33"/>
      <c r="O72" s="33"/>
      <c r="P72" s="33"/>
      <c r="Q72" s="33"/>
      <c r="R72" s="33"/>
      <c r="S72" s="33"/>
      <c r="T72" s="33"/>
      <c r="U72" s="33"/>
    </row>
    <row r="73" spans="1:21" x14ac:dyDescent="1.25">
      <c r="A73" s="33"/>
      <c r="B73" s="33"/>
      <c r="C73" s="33"/>
      <c r="D73" s="33"/>
      <c r="E73" s="33"/>
      <c r="F73" s="33"/>
      <c r="G73" s="33"/>
      <c r="H73" s="33"/>
      <c r="I73" s="33"/>
      <c r="J73" s="33"/>
      <c r="K73" s="33"/>
      <c r="L73" s="33"/>
      <c r="M73" s="33"/>
      <c r="N73" s="33"/>
      <c r="O73" s="33"/>
      <c r="P73" s="33"/>
      <c r="Q73" s="33"/>
      <c r="R73" s="33"/>
      <c r="S73" s="33"/>
      <c r="T73" s="33"/>
      <c r="U73" s="33"/>
    </row>
    <row r="74" spans="1:21" x14ac:dyDescent="1.25">
      <c r="A74" s="33"/>
      <c r="B74" s="33"/>
      <c r="C74" s="33"/>
      <c r="D74" s="33"/>
      <c r="E74" s="33"/>
      <c r="F74" s="33"/>
      <c r="G74" s="33"/>
      <c r="H74" s="33"/>
      <c r="I74" s="33"/>
      <c r="J74" s="33"/>
      <c r="K74" s="33"/>
      <c r="L74" s="33"/>
      <c r="M74" s="33"/>
      <c r="N74" s="33"/>
      <c r="O74" s="33"/>
      <c r="P74" s="33"/>
      <c r="Q74" s="33"/>
      <c r="R74" s="33"/>
      <c r="S74" s="33"/>
      <c r="T74" s="33"/>
      <c r="U74" s="33"/>
    </row>
    <row r="75" spans="1:21" x14ac:dyDescent="1.25">
      <c r="A75" s="33"/>
      <c r="B75" s="33"/>
      <c r="C75" s="33"/>
      <c r="D75" s="33"/>
      <c r="E75" s="33"/>
      <c r="F75" s="33"/>
      <c r="G75" s="33"/>
      <c r="H75" s="33"/>
      <c r="I75" s="33"/>
      <c r="J75" s="33"/>
      <c r="K75" s="33"/>
      <c r="L75" s="33"/>
      <c r="M75" s="33"/>
      <c r="N75" s="33"/>
      <c r="O75" s="33"/>
      <c r="P75" s="33"/>
      <c r="Q75" s="33"/>
      <c r="R75" s="33"/>
      <c r="S75" s="33"/>
      <c r="T75" s="33"/>
      <c r="U75" s="33"/>
    </row>
    <row r="76" spans="1:21" x14ac:dyDescent="1.25">
      <c r="A76" s="33"/>
      <c r="B76" s="33"/>
      <c r="C76" s="33"/>
      <c r="D76" s="33"/>
      <c r="E76" s="33"/>
      <c r="F76" s="33"/>
      <c r="G76" s="33"/>
      <c r="H76" s="33"/>
      <c r="I76" s="33"/>
      <c r="J76" s="33"/>
      <c r="K76" s="33"/>
      <c r="L76" s="33"/>
      <c r="M76" s="33"/>
      <c r="N76" s="33"/>
      <c r="O76" s="33"/>
      <c r="P76" s="33"/>
      <c r="Q76" s="33"/>
      <c r="R76" s="33"/>
      <c r="S76" s="33"/>
      <c r="T76" s="33"/>
      <c r="U76" s="33"/>
    </row>
    <row r="77" spans="1:21" x14ac:dyDescent="1.25">
      <c r="A77" s="33"/>
      <c r="B77" s="33"/>
      <c r="C77" s="33"/>
      <c r="D77" s="33"/>
      <c r="E77" s="33"/>
      <c r="F77" s="33"/>
      <c r="G77" s="33"/>
      <c r="H77" s="33"/>
      <c r="I77" s="33"/>
      <c r="J77" s="33"/>
      <c r="K77" s="33"/>
      <c r="L77" s="33"/>
      <c r="M77" s="33"/>
      <c r="N77" s="33"/>
      <c r="O77" s="33"/>
      <c r="P77" s="33"/>
      <c r="Q77" s="33"/>
      <c r="R77" s="33"/>
      <c r="S77" s="33"/>
      <c r="T77" s="33"/>
      <c r="U77" s="33"/>
    </row>
    <row r="78" spans="1:21" x14ac:dyDescent="1.25">
      <c r="A78" s="33"/>
      <c r="B78" s="33"/>
      <c r="C78" s="33"/>
      <c r="D78" s="33"/>
      <c r="E78" s="33"/>
      <c r="F78" s="33"/>
      <c r="G78" s="33"/>
      <c r="H78" s="33"/>
      <c r="I78" s="33"/>
      <c r="J78" s="33"/>
      <c r="K78" s="33"/>
      <c r="L78" s="33"/>
      <c r="M78" s="33"/>
      <c r="N78" s="33"/>
      <c r="O78" s="33"/>
      <c r="P78" s="33"/>
      <c r="Q78" s="33"/>
      <c r="R78" s="33"/>
      <c r="S78" s="33"/>
      <c r="T78" s="33"/>
      <c r="U78" s="33"/>
    </row>
    <row r="79" spans="1:21" x14ac:dyDescent="1.25">
      <c r="A79" s="33"/>
      <c r="B79" s="33"/>
      <c r="C79" s="33"/>
      <c r="D79" s="33"/>
      <c r="E79" s="33"/>
      <c r="F79" s="33"/>
      <c r="G79" s="33"/>
      <c r="H79" s="33"/>
      <c r="I79" s="33"/>
      <c r="J79" s="33"/>
      <c r="K79" s="33"/>
      <c r="L79" s="33"/>
      <c r="M79" s="33"/>
      <c r="N79" s="33"/>
      <c r="O79" s="33"/>
      <c r="P79" s="33"/>
      <c r="Q79" s="33"/>
      <c r="R79" s="33"/>
      <c r="S79" s="33"/>
      <c r="T79" s="33"/>
      <c r="U79" s="33"/>
    </row>
    <row r="80" spans="1:21" x14ac:dyDescent="1.25">
      <c r="A80" s="33"/>
      <c r="B80" s="33"/>
      <c r="C80" s="33"/>
      <c r="D80" s="33"/>
      <c r="E80" s="33"/>
      <c r="F80" s="33"/>
      <c r="G80" s="33"/>
      <c r="H80" s="33"/>
      <c r="I80" s="33"/>
      <c r="J80" s="33"/>
      <c r="K80" s="33"/>
      <c r="L80" s="33"/>
      <c r="M80" s="33"/>
      <c r="N80" s="33"/>
      <c r="O80" s="33"/>
      <c r="P80" s="33"/>
      <c r="Q80" s="33"/>
      <c r="R80" s="33"/>
      <c r="S80" s="33"/>
      <c r="T80" s="33"/>
      <c r="U80" s="33"/>
    </row>
    <row r="81" spans="1:21" x14ac:dyDescent="1.25">
      <c r="A81" s="33"/>
      <c r="B81" s="33"/>
      <c r="C81" s="33"/>
      <c r="D81" s="33"/>
      <c r="E81" s="33"/>
      <c r="F81" s="33"/>
      <c r="G81" s="33"/>
      <c r="H81" s="33"/>
      <c r="I81" s="33"/>
      <c r="J81" s="33"/>
      <c r="K81" s="33"/>
      <c r="L81" s="33"/>
      <c r="M81" s="33"/>
      <c r="N81" s="33"/>
      <c r="O81" s="33"/>
      <c r="P81" s="33"/>
      <c r="Q81" s="33"/>
      <c r="R81" s="33"/>
      <c r="S81" s="33"/>
      <c r="T81" s="33"/>
      <c r="U81" s="33"/>
    </row>
    <row r="82" spans="1:21" x14ac:dyDescent="1.25">
      <c r="A82" s="33"/>
      <c r="B82" s="33"/>
      <c r="C82" s="33"/>
      <c r="D82" s="33"/>
      <c r="E82" s="33"/>
      <c r="F82" s="33"/>
      <c r="G82" s="33"/>
      <c r="H82" s="33"/>
      <c r="I82" s="33"/>
      <c r="J82" s="33"/>
      <c r="K82" s="33"/>
      <c r="L82" s="33"/>
      <c r="M82" s="33"/>
      <c r="N82" s="33"/>
      <c r="O82" s="33"/>
      <c r="P82" s="33"/>
      <c r="Q82" s="33"/>
      <c r="R82" s="33"/>
      <c r="S82" s="33"/>
      <c r="T82" s="33"/>
      <c r="U82" s="33"/>
    </row>
    <row r="83" spans="1:21" x14ac:dyDescent="1.25">
      <c r="A83" s="33"/>
      <c r="B83" s="33"/>
      <c r="C83" s="33"/>
      <c r="D83" s="33"/>
      <c r="E83" s="33"/>
      <c r="F83" s="33"/>
      <c r="G83" s="33"/>
      <c r="H83" s="33"/>
      <c r="I83" s="33"/>
      <c r="J83" s="33"/>
      <c r="K83" s="33"/>
      <c r="L83" s="33"/>
      <c r="M83" s="33"/>
      <c r="N83" s="33"/>
      <c r="O83" s="33"/>
      <c r="P83" s="33"/>
      <c r="Q83" s="33"/>
      <c r="R83" s="33"/>
      <c r="S83" s="33"/>
      <c r="T83" s="33"/>
      <c r="U83" s="33"/>
    </row>
    <row r="84" spans="1:21" x14ac:dyDescent="1.25">
      <c r="A84" s="33"/>
      <c r="B84" s="33"/>
      <c r="C84" s="33"/>
      <c r="D84" s="33"/>
      <c r="E84" s="33"/>
      <c r="F84" s="33"/>
      <c r="G84" s="33"/>
      <c r="H84" s="33"/>
      <c r="I84" s="33"/>
      <c r="J84" s="33"/>
      <c r="K84" s="33"/>
      <c r="L84" s="33"/>
      <c r="M84" s="33"/>
      <c r="N84" s="33"/>
      <c r="O84" s="33"/>
      <c r="P84" s="33"/>
      <c r="Q84" s="33"/>
      <c r="R84" s="33"/>
      <c r="S84" s="33"/>
      <c r="T84" s="33"/>
      <c r="U84" s="33"/>
    </row>
    <row r="85" spans="1:21" x14ac:dyDescent="1.25">
      <c r="A85" s="33"/>
      <c r="B85" s="33"/>
      <c r="C85" s="33"/>
      <c r="D85" s="33"/>
      <c r="E85" s="33"/>
      <c r="F85" s="33"/>
      <c r="G85" s="33"/>
      <c r="H85" s="33"/>
      <c r="I85" s="33"/>
      <c r="J85" s="33"/>
      <c r="K85" s="33"/>
      <c r="L85" s="33"/>
      <c r="M85" s="33"/>
      <c r="N85" s="33"/>
      <c r="O85" s="33"/>
      <c r="P85" s="33"/>
      <c r="Q85" s="33"/>
      <c r="R85" s="33"/>
      <c r="S85" s="33"/>
      <c r="T85" s="33"/>
      <c r="U85" s="33"/>
    </row>
    <row r="86" spans="1:21" x14ac:dyDescent="1.25">
      <c r="A86" s="33"/>
      <c r="B86" s="33"/>
      <c r="C86" s="33"/>
      <c r="D86" s="33"/>
      <c r="E86" s="33"/>
      <c r="F86" s="33"/>
      <c r="G86" s="33"/>
      <c r="H86" s="33"/>
      <c r="I86" s="33"/>
      <c r="J86" s="33"/>
      <c r="K86" s="33"/>
      <c r="L86" s="33"/>
      <c r="M86" s="33"/>
      <c r="N86" s="33"/>
      <c r="O86" s="33"/>
      <c r="P86" s="33"/>
      <c r="Q86" s="33"/>
      <c r="R86" s="33"/>
      <c r="S86" s="33"/>
      <c r="T86" s="33"/>
      <c r="U86" s="33"/>
    </row>
    <row r="87" spans="1:21" x14ac:dyDescent="1.25">
      <c r="A87" s="33"/>
      <c r="B87" s="33"/>
      <c r="C87" s="33"/>
      <c r="D87" s="33"/>
      <c r="E87" s="33"/>
      <c r="F87" s="33"/>
      <c r="G87" s="33"/>
      <c r="H87" s="33"/>
      <c r="I87" s="33"/>
      <c r="J87" s="33"/>
      <c r="K87" s="33"/>
      <c r="L87" s="33"/>
      <c r="M87" s="33"/>
      <c r="N87" s="33"/>
      <c r="O87" s="33"/>
      <c r="P87" s="33"/>
      <c r="Q87" s="33"/>
      <c r="R87" s="33"/>
      <c r="S87" s="33"/>
      <c r="T87" s="33"/>
      <c r="U87" s="33"/>
    </row>
    <row r="88" spans="1:21" x14ac:dyDescent="1.25">
      <c r="A88" s="33"/>
      <c r="B88" s="33"/>
      <c r="C88" s="33"/>
      <c r="D88" s="33"/>
      <c r="E88" s="33"/>
      <c r="F88" s="33"/>
      <c r="G88" s="33"/>
      <c r="H88" s="33"/>
      <c r="I88" s="33"/>
      <c r="J88" s="33"/>
      <c r="K88" s="33"/>
      <c r="L88" s="33"/>
      <c r="M88" s="33"/>
      <c r="N88" s="33"/>
      <c r="O88" s="33"/>
      <c r="P88" s="33"/>
      <c r="Q88" s="33"/>
      <c r="R88" s="33"/>
      <c r="S88" s="33"/>
    </row>
    <row r="89" spans="1:21" x14ac:dyDescent="1.25">
      <c r="A89" s="33"/>
      <c r="B89" s="33"/>
      <c r="C89" s="33"/>
      <c r="D89" s="33"/>
      <c r="E89" s="33"/>
      <c r="F89" s="33"/>
      <c r="G89" s="33"/>
      <c r="H89" s="33"/>
      <c r="I89" s="33"/>
      <c r="J89" s="33"/>
      <c r="K89" s="33"/>
      <c r="L89" s="33"/>
      <c r="M89" s="33"/>
      <c r="N89" s="33"/>
      <c r="O89" s="33"/>
      <c r="P89" s="33"/>
      <c r="Q89" s="33"/>
      <c r="R89" s="33"/>
      <c r="S89" s="33"/>
    </row>
    <row r="90" spans="1:21" x14ac:dyDescent="1.25">
      <c r="A90" s="33"/>
      <c r="B90" s="33"/>
      <c r="C90" s="33"/>
      <c r="D90" s="33"/>
      <c r="E90" s="33"/>
      <c r="F90" s="33"/>
      <c r="G90" s="33"/>
      <c r="H90" s="33"/>
      <c r="I90" s="33"/>
      <c r="J90" s="33"/>
      <c r="K90" s="33"/>
      <c r="L90" s="33"/>
      <c r="M90" s="33"/>
      <c r="N90" s="33"/>
      <c r="O90" s="33"/>
      <c r="P90" s="33"/>
      <c r="Q90" s="33"/>
      <c r="R90" s="33"/>
      <c r="S90" s="33"/>
    </row>
    <row r="91" spans="1:21" x14ac:dyDescent="1.25">
      <c r="A91" s="33"/>
      <c r="B91" s="33"/>
      <c r="C91" s="33"/>
      <c r="D91" s="33"/>
      <c r="E91" s="33"/>
      <c r="F91" s="33"/>
      <c r="G91" s="33"/>
      <c r="H91" s="33"/>
      <c r="I91" s="33"/>
      <c r="J91" s="33"/>
      <c r="K91" s="33"/>
      <c r="L91" s="33"/>
      <c r="M91" s="33"/>
      <c r="N91" s="33"/>
      <c r="O91" s="33"/>
      <c r="P91" s="33"/>
      <c r="Q91" s="33"/>
      <c r="R91" s="33"/>
      <c r="S91" s="33"/>
    </row>
    <row r="92" spans="1:21" x14ac:dyDescent="1.25">
      <c r="A92" s="33"/>
      <c r="B92" s="33"/>
      <c r="C92" s="33"/>
      <c r="D92" s="33"/>
      <c r="E92" s="33"/>
      <c r="F92" s="33"/>
      <c r="G92" s="33"/>
      <c r="H92" s="33"/>
      <c r="I92" s="33"/>
      <c r="J92" s="33"/>
      <c r="K92" s="33"/>
      <c r="L92" s="33"/>
      <c r="M92" s="33"/>
      <c r="N92" s="33"/>
      <c r="O92" s="33"/>
      <c r="P92" s="33"/>
      <c r="Q92" s="33"/>
      <c r="R92" s="33"/>
      <c r="S92" s="33"/>
    </row>
    <row r="93" spans="1:21" x14ac:dyDescent="1.25">
      <c r="A93" s="33"/>
      <c r="B93" s="33"/>
      <c r="C93" s="33"/>
      <c r="D93" s="33"/>
      <c r="E93" s="33"/>
      <c r="F93" s="33"/>
      <c r="G93" s="33"/>
      <c r="H93" s="33"/>
      <c r="I93" s="33"/>
      <c r="J93" s="33"/>
      <c r="K93" s="33"/>
      <c r="L93" s="33"/>
      <c r="M93" s="33"/>
      <c r="N93" s="33"/>
      <c r="O93" s="33"/>
      <c r="P93" s="33"/>
      <c r="Q93" s="33"/>
      <c r="R93" s="33"/>
      <c r="S93" s="33"/>
    </row>
    <row r="94" spans="1:21" x14ac:dyDescent="1.25">
      <c r="A94" s="33"/>
      <c r="B94" s="33"/>
      <c r="C94" s="33"/>
      <c r="D94" s="33"/>
      <c r="E94" s="33"/>
      <c r="F94" s="33"/>
      <c r="G94" s="33"/>
      <c r="H94" s="33"/>
      <c r="I94" s="33"/>
      <c r="J94" s="33"/>
      <c r="K94" s="33"/>
      <c r="L94" s="33"/>
      <c r="M94" s="33"/>
      <c r="N94" s="33"/>
      <c r="O94" s="33"/>
      <c r="P94" s="33"/>
      <c r="Q94" s="33"/>
      <c r="R94" s="33"/>
      <c r="S94" s="33"/>
    </row>
    <row r="95" spans="1:21" x14ac:dyDescent="1.25">
      <c r="A95" s="33"/>
      <c r="B95" s="33"/>
      <c r="C95" s="33"/>
      <c r="D95" s="33"/>
      <c r="E95" s="33"/>
      <c r="F95" s="33"/>
      <c r="G95" s="33"/>
      <c r="H95" s="33"/>
      <c r="I95" s="33"/>
      <c r="J95" s="33"/>
      <c r="K95" s="33"/>
      <c r="L95" s="33"/>
      <c r="M95" s="33"/>
      <c r="N95" s="33"/>
      <c r="O95" s="33"/>
      <c r="P95" s="33"/>
      <c r="Q95" s="33"/>
      <c r="R95" s="33"/>
      <c r="S95" s="33"/>
    </row>
    <row r="96" spans="1:21" x14ac:dyDescent="1.25">
      <c r="A96" s="33"/>
      <c r="B96" s="33"/>
      <c r="C96" s="33"/>
      <c r="D96" s="33"/>
      <c r="E96" s="33"/>
      <c r="F96" s="33"/>
      <c r="G96" s="33"/>
      <c r="H96" s="33"/>
      <c r="I96" s="33"/>
      <c r="J96" s="33"/>
      <c r="K96" s="33"/>
      <c r="L96" s="33"/>
      <c r="M96" s="33"/>
      <c r="N96" s="33"/>
      <c r="O96" s="33"/>
      <c r="P96" s="33"/>
      <c r="Q96" s="33"/>
      <c r="R96" s="33"/>
      <c r="S96" s="33"/>
    </row>
    <row r="97" spans="1:19" x14ac:dyDescent="1.25">
      <c r="A97" s="33"/>
      <c r="B97" s="33"/>
      <c r="C97" s="33"/>
      <c r="D97" s="33"/>
      <c r="E97" s="33"/>
      <c r="F97" s="33"/>
      <c r="G97" s="33"/>
      <c r="H97" s="33"/>
      <c r="I97" s="33"/>
      <c r="J97" s="33"/>
      <c r="K97" s="33"/>
      <c r="L97" s="33"/>
      <c r="M97" s="33"/>
      <c r="N97" s="33"/>
      <c r="O97" s="33"/>
      <c r="P97" s="33"/>
      <c r="Q97" s="33"/>
      <c r="R97" s="33"/>
      <c r="S97"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9CD6-FC44-4298-884E-5E81321B083D}">
  <dimension ref="B3:H39"/>
  <sheetViews>
    <sheetView topLeftCell="A4" zoomScale="68" workbookViewId="0">
      <selection activeCell="I13" sqref="I13"/>
    </sheetView>
  </sheetViews>
  <sheetFormatPr defaultRowHeight="22.9" x14ac:dyDescent="1.25"/>
  <cols>
    <col min="1" max="1" width="7.34765625" bestFit="1" customWidth="1"/>
    <col min="2" max="2" width="20.25" bestFit="1" customWidth="1"/>
    <col min="3" max="3" width="15.5" bestFit="1" customWidth="1"/>
    <col min="4" max="4" width="14.09765625" bestFit="1" customWidth="1"/>
    <col min="5" max="5" width="12.09765625" bestFit="1" customWidth="1"/>
    <col min="6" max="6" width="14.09765625" bestFit="1" customWidth="1"/>
    <col min="7" max="7" width="12.09765625" bestFit="1" customWidth="1"/>
    <col min="8" max="8" width="14.09765625" bestFit="1" customWidth="1"/>
    <col min="9" max="9" width="16.44921875" bestFit="1" customWidth="1"/>
    <col min="10" max="10" width="23.94921875" bestFit="1" customWidth="1"/>
    <col min="11" max="11" width="12.046875" bestFit="1" customWidth="1"/>
    <col min="12" max="12" width="11.8984375" bestFit="1" customWidth="1"/>
    <col min="13" max="13" width="10.25" bestFit="1" customWidth="1"/>
    <col min="14" max="14" width="10.796875" bestFit="1" customWidth="1"/>
    <col min="15" max="15" width="8.5" bestFit="1" customWidth="1"/>
    <col min="16" max="16" width="15.046875" bestFit="1" customWidth="1"/>
    <col min="17" max="17" width="12.09765625" bestFit="1" customWidth="1"/>
    <col min="18" max="18" width="15.3984375" bestFit="1" customWidth="1"/>
    <col min="19" max="19" width="8.5" customWidth="1"/>
    <col min="20" max="20" width="15.046875" bestFit="1" customWidth="1"/>
    <col min="21" max="21" width="12.09765625" bestFit="1" customWidth="1"/>
    <col min="22" max="22" width="15.3984375" bestFit="1" customWidth="1"/>
  </cols>
  <sheetData>
    <row r="3" spans="2:8" x14ac:dyDescent="1.25">
      <c r="C3" s="1" t="s">
        <v>46</v>
      </c>
    </row>
    <row r="4" spans="2:8" x14ac:dyDescent="1.25">
      <c r="C4" t="s">
        <v>42</v>
      </c>
      <c r="E4" t="s">
        <v>43</v>
      </c>
      <c r="G4" t="s">
        <v>44</v>
      </c>
    </row>
    <row r="5" spans="2:8" x14ac:dyDescent="1.25">
      <c r="B5" s="1" t="s">
        <v>0</v>
      </c>
      <c r="C5" t="s">
        <v>45</v>
      </c>
      <c r="D5" t="s">
        <v>47</v>
      </c>
      <c r="E5" t="s">
        <v>45</v>
      </c>
      <c r="F5" t="s">
        <v>47</v>
      </c>
      <c r="G5" t="s">
        <v>45</v>
      </c>
      <c r="H5" t="s">
        <v>47</v>
      </c>
    </row>
    <row r="6" spans="2:8" x14ac:dyDescent="1.25">
      <c r="B6" s="2" t="s">
        <v>1</v>
      </c>
      <c r="C6" s="28">
        <v>280</v>
      </c>
      <c r="D6" s="4">
        <v>6.7000000000000004E-2</v>
      </c>
      <c r="E6" s="28">
        <v>294.33333333333331</v>
      </c>
      <c r="F6" s="4">
        <v>6.7000000000000004E-2</v>
      </c>
      <c r="G6" s="28">
        <v>312.16666666666669</v>
      </c>
      <c r="H6" s="4">
        <v>5.3999999999999999E-2</v>
      </c>
    </row>
    <row r="7" spans="2:8" x14ac:dyDescent="1.25">
      <c r="B7" s="2" t="s">
        <v>2</v>
      </c>
      <c r="C7" s="28">
        <v>212.5</v>
      </c>
      <c r="D7" s="4">
        <v>6.7000000000000004E-2</v>
      </c>
      <c r="E7" s="28">
        <v>221.5</v>
      </c>
      <c r="F7" s="4">
        <v>6.7000000000000004E-2</v>
      </c>
      <c r="G7" s="28">
        <v>247.58333333333334</v>
      </c>
      <c r="H7" s="4">
        <v>5.3999999999999999E-2</v>
      </c>
    </row>
    <row r="8" spans="2:8" x14ac:dyDescent="1.25">
      <c r="B8" s="2" t="s">
        <v>3</v>
      </c>
      <c r="C8" s="28">
        <v>212</v>
      </c>
      <c r="D8" s="4">
        <v>6.7000000000000004E-2</v>
      </c>
      <c r="E8" s="28">
        <v>215.91666666666666</v>
      </c>
      <c r="F8" s="4">
        <v>6.7000000000000004E-2</v>
      </c>
      <c r="G8" s="28">
        <v>223.58333333333334</v>
      </c>
      <c r="H8" s="4">
        <v>5.3999999999999999E-2</v>
      </c>
    </row>
    <row r="9" spans="2:8" x14ac:dyDescent="1.25">
      <c r="B9" s="2" t="s">
        <v>4</v>
      </c>
      <c r="C9" s="28">
        <v>224</v>
      </c>
      <c r="D9" s="4">
        <v>6.7000000000000004E-2</v>
      </c>
      <c r="E9" s="28">
        <v>229</v>
      </c>
      <c r="F9" s="4">
        <v>6.7000000000000004E-2</v>
      </c>
      <c r="G9" s="28">
        <v>238</v>
      </c>
      <c r="H9" s="4">
        <v>5.3999999999999999E-2</v>
      </c>
    </row>
    <row r="10" spans="2:8" x14ac:dyDescent="1.25">
      <c r="B10" s="2" t="s">
        <v>5</v>
      </c>
      <c r="C10" s="28">
        <v>198</v>
      </c>
      <c r="D10" s="4">
        <v>6.7000000000000004E-2</v>
      </c>
      <c r="E10" s="28">
        <v>210</v>
      </c>
      <c r="F10" s="4">
        <v>6.7000000000000004E-2</v>
      </c>
      <c r="G10" s="28">
        <v>227.25</v>
      </c>
      <c r="H10" s="4">
        <v>5.3999999999999999E-2</v>
      </c>
    </row>
    <row r="11" spans="2:8" x14ac:dyDescent="1.25">
      <c r="B11" s="2" t="s">
        <v>6</v>
      </c>
      <c r="C11" s="28">
        <v>182.41666666666666</v>
      </c>
      <c r="D11" s="4">
        <v>6.7000000000000004E-2</v>
      </c>
      <c r="E11" s="28">
        <v>191.83333333333334</v>
      </c>
      <c r="F11" s="4">
        <v>6.7000000000000004E-2</v>
      </c>
      <c r="G11" s="28">
        <v>206.33333333333334</v>
      </c>
      <c r="H11" s="4">
        <v>5.3999999999999999E-2</v>
      </c>
    </row>
    <row r="12" spans="2:8" x14ac:dyDescent="1.25">
      <c r="B12" s="2" t="s">
        <v>7</v>
      </c>
      <c r="C12" s="28">
        <v>0</v>
      </c>
      <c r="D12" s="4">
        <v>6.7000000000000004E-2</v>
      </c>
      <c r="E12" s="28">
        <v>0</v>
      </c>
      <c r="F12" s="4">
        <v>6.7000000000000004E-2</v>
      </c>
      <c r="G12" s="28">
        <v>123.75</v>
      </c>
      <c r="H12" s="4">
        <v>5.3999999999999999E-2</v>
      </c>
    </row>
    <row r="13" spans="2:8" x14ac:dyDescent="1.25">
      <c r="B13" s="2" t="s">
        <v>8</v>
      </c>
      <c r="C13" s="28">
        <v>294.08333333333331</v>
      </c>
      <c r="D13" s="4">
        <v>6.7000000000000004E-2</v>
      </c>
      <c r="E13" s="28">
        <v>315</v>
      </c>
      <c r="F13" s="4">
        <v>6.7000000000000004E-2</v>
      </c>
      <c r="G13" s="28">
        <v>322</v>
      </c>
      <c r="H13" s="4">
        <v>5.3999999999999999E-2</v>
      </c>
    </row>
    <row r="14" spans="2:8" x14ac:dyDescent="1.25">
      <c r="B14" s="2" t="s">
        <v>9</v>
      </c>
      <c r="C14" s="28">
        <v>209.58333333333334</v>
      </c>
      <c r="D14" s="4">
        <v>6.7000000000000004E-2</v>
      </c>
      <c r="E14" s="28">
        <v>221.66666666666666</v>
      </c>
      <c r="F14" s="4">
        <v>6.7000000000000004E-2</v>
      </c>
      <c r="G14" s="28">
        <v>233.5</v>
      </c>
      <c r="H14" s="4">
        <v>5.3999999999999999E-2</v>
      </c>
    </row>
    <row r="15" spans="2:8" x14ac:dyDescent="1.25">
      <c r="B15" s="2" t="s">
        <v>10</v>
      </c>
      <c r="C15" s="28">
        <v>312.66666666666669</v>
      </c>
      <c r="D15" s="4">
        <v>6.7000000000000004E-2</v>
      </c>
      <c r="E15" s="28">
        <v>326.66666666666669</v>
      </c>
      <c r="F15" s="4">
        <v>6.7000000000000004E-2</v>
      </c>
      <c r="G15" s="28">
        <v>343.25</v>
      </c>
      <c r="H15" s="4">
        <v>5.3999999999999999E-2</v>
      </c>
    </row>
    <row r="16" spans="2:8" x14ac:dyDescent="1.25">
      <c r="B16" s="2" t="s">
        <v>11</v>
      </c>
      <c r="C16" s="28">
        <v>202.08333333333334</v>
      </c>
      <c r="D16" s="4">
        <v>6.7000000000000004E-2</v>
      </c>
      <c r="E16" s="28">
        <v>210.41666666666666</v>
      </c>
      <c r="F16" s="4">
        <v>6.7000000000000004E-2</v>
      </c>
      <c r="G16" s="28">
        <v>227.91666666666666</v>
      </c>
      <c r="H16" s="4">
        <v>5.3999999999999999E-2</v>
      </c>
    </row>
    <row r="17" spans="2:8" x14ac:dyDescent="1.25">
      <c r="B17" s="2" t="s">
        <v>12</v>
      </c>
      <c r="C17" s="28">
        <v>213.91666666666666</v>
      </c>
      <c r="D17" s="4">
        <v>6.7000000000000004E-2</v>
      </c>
      <c r="E17" s="28">
        <v>226.75</v>
      </c>
      <c r="F17" s="4">
        <v>6.7000000000000004E-2</v>
      </c>
      <c r="G17" s="28">
        <v>243.5</v>
      </c>
      <c r="H17" s="4">
        <v>5.3999999999999999E-2</v>
      </c>
    </row>
    <row r="18" spans="2:8" x14ac:dyDescent="1.25">
      <c r="B18" s="2" t="s">
        <v>13</v>
      </c>
      <c r="C18" s="28">
        <v>225</v>
      </c>
      <c r="D18" s="4">
        <v>6.7000000000000004E-2</v>
      </c>
      <c r="E18" s="28">
        <v>233.08333333333334</v>
      </c>
      <c r="F18" s="4">
        <v>6.7000000000000004E-2</v>
      </c>
      <c r="G18" s="28">
        <v>255</v>
      </c>
      <c r="H18" s="4">
        <v>5.3999999999999999E-2</v>
      </c>
    </row>
    <row r="19" spans="2:8" x14ac:dyDescent="1.25">
      <c r="B19" s="2" t="s">
        <v>14</v>
      </c>
      <c r="C19" s="28">
        <v>284.58333333333331</v>
      </c>
      <c r="D19" s="4">
        <v>6.7000000000000004E-2</v>
      </c>
      <c r="E19" s="28">
        <v>301.91666666666669</v>
      </c>
      <c r="F19" s="4">
        <v>6.7000000000000004E-2</v>
      </c>
      <c r="G19" s="28">
        <v>304.66666666666669</v>
      </c>
      <c r="H19" s="4">
        <v>5.3999999999999999E-2</v>
      </c>
    </row>
    <row r="20" spans="2:8" x14ac:dyDescent="1.25">
      <c r="B20" s="2" t="s">
        <v>15</v>
      </c>
      <c r="C20" s="28">
        <v>294.75</v>
      </c>
      <c r="D20" s="4">
        <v>6.7000000000000004E-2</v>
      </c>
      <c r="E20" s="28">
        <v>310.58333333333331</v>
      </c>
      <c r="F20" s="4">
        <v>6.7000000000000004E-2</v>
      </c>
      <c r="G20" s="28">
        <v>331.58333333333331</v>
      </c>
      <c r="H20" s="4">
        <v>5.3999999999999999E-2</v>
      </c>
    </row>
    <row r="21" spans="2:8" x14ac:dyDescent="1.25">
      <c r="B21" s="2" t="s">
        <v>16</v>
      </c>
      <c r="C21" s="28">
        <v>213.41666666666666</v>
      </c>
      <c r="D21" s="4">
        <v>6.7000000000000004E-2</v>
      </c>
      <c r="E21" s="28">
        <v>226.91666666666666</v>
      </c>
      <c r="F21" s="4">
        <v>6.7000000000000004E-2</v>
      </c>
      <c r="G21" s="28">
        <v>242.91666666666666</v>
      </c>
      <c r="H21" s="4">
        <v>5.3999999999999999E-2</v>
      </c>
    </row>
    <row r="22" spans="2:8" x14ac:dyDescent="1.25">
      <c r="B22" s="2" t="s">
        <v>17</v>
      </c>
      <c r="C22" s="28">
        <v>155.16666666666666</v>
      </c>
      <c r="D22" s="4">
        <v>6.7000000000000004E-2</v>
      </c>
      <c r="E22" s="28">
        <v>281.08333333333331</v>
      </c>
      <c r="F22" s="4">
        <v>6.7000000000000004E-2</v>
      </c>
      <c r="G22" s="28">
        <v>228</v>
      </c>
      <c r="H22" s="4">
        <v>5.3999999999999999E-2</v>
      </c>
    </row>
    <row r="23" spans="2:8" x14ac:dyDescent="1.25">
      <c r="B23" s="2" t="s">
        <v>18</v>
      </c>
      <c r="C23" s="28">
        <v>185.5</v>
      </c>
      <c r="D23" s="4">
        <v>6.7000000000000004E-2</v>
      </c>
      <c r="E23" s="28">
        <v>198.5</v>
      </c>
      <c r="F23" s="4">
        <v>6.7000000000000004E-2</v>
      </c>
      <c r="G23" s="28">
        <v>209.58333333333334</v>
      </c>
      <c r="H23" s="4">
        <v>5.3999999999999999E-2</v>
      </c>
    </row>
    <row r="24" spans="2:8" x14ac:dyDescent="1.25">
      <c r="B24" s="2" t="s">
        <v>19</v>
      </c>
      <c r="C24" s="28">
        <v>238.91666666666666</v>
      </c>
      <c r="D24" s="4">
        <v>6.7000000000000004E-2</v>
      </c>
      <c r="E24" s="28">
        <v>247.58333333333334</v>
      </c>
      <c r="F24" s="4">
        <v>6.7000000000000004E-2</v>
      </c>
      <c r="G24" s="28">
        <v>263.33333333333331</v>
      </c>
      <c r="H24" s="4">
        <v>5.3999999999999999E-2</v>
      </c>
    </row>
    <row r="25" spans="2:8" x14ac:dyDescent="1.25">
      <c r="B25" s="2" t="s">
        <v>20</v>
      </c>
      <c r="C25" s="28">
        <v>250.83333333333334</v>
      </c>
      <c r="D25" s="4">
        <v>6.7000000000000004E-2</v>
      </c>
      <c r="E25" s="28">
        <v>251</v>
      </c>
      <c r="F25" s="4">
        <v>6.7000000000000004E-2</v>
      </c>
      <c r="G25" s="28">
        <v>259.75</v>
      </c>
      <c r="H25" s="4">
        <v>5.3999999999999999E-2</v>
      </c>
    </row>
    <row r="26" spans="2:8" x14ac:dyDescent="1.25">
      <c r="B26" s="2" t="s">
        <v>21</v>
      </c>
      <c r="C26" s="28">
        <v>226</v>
      </c>
      <c r="D26" s="4">
        <v>6.7000000000000004E-2</v>
      </c>
      <c r="E26" s="28">
        <v>230</v>
      </c>
      <c r="F26" s="4">
        <v>6.7000000000000004E-2</v>
      </c>
      <c r="G26" s="28">
        <v>238</v>
      </c>
      <c r="H26" s="4">
        <v>5.3999999999999999E-2</v>
      </c>
    </row>
    <row r="27" spans="2:8" x14ac:dyDescent="1.25">
      <c r="B27" s="2" t="s">
        <v>22</v>
      </c>
      <c r="C27" s="28">
        <v>233</v>
      </c>
      <c r="D27" s="4">
        <v>6.7000000000000004E-2</v>
      </c>
      <c r="E27" s="28">
        <v>233</v>
      </c>
      <c r="F27" s="4">
        <v>6.7000000000000004E-2</v>
      </c>
      <c r="G27" s="28">
        <v>249</v>
      </c>
      <c r="H27" s="4">
        <v>5.3999999999999999E-2</v>
      </c>
    </row>
    <row r="28" spans="2:8" x14ac:dyDescent="1.25">
      <c r="B28" s="2" t="s">
        <v>23</v>
      </c>
      <c r="C28" s="28">
        <v>212</v>
      </c>
      <c r="D28" s="4">
        <v>6.7000000000000004E-2</v>
      </c>
      <c r="E28" s="28">
        <v>216</v>
      </c>
      <c r="F28" s="4">
        <v>6.7000000000000004E-2</v>
      </c>
      <c r="G28" s="28">
        <v>205.33333333333334</v>
      </c>
      <c r="H28" s="4">
        <v>5.3999999999999999E-2</v>
      </c>
    </row>
    <row r="29" spans="2:8" x14ac:dyDescent="1.25">
      <c r="B29" s="2" t="s">
        <v>24</v>
      </c>
      <c r="C29" s="28">
        <v>209.41666666666666</v>
      </c>
      <c r="D29" s="4">
        <v>6.7000000000000004E-2</v>
      </c>
      <c r="E29" s="28">
        <v>222.33333333333334</v>
      </c>
      <c r="F29" s="4">
        <v>6.7000000000000004E-2</v>
      </c>
      <c r="G29" s="28">
        <v>249.75</v>
      </c>
      <c r="H29" s="4">
        <v>5.3999999999999999E-2</v>
      </c>
    </row>
    <row r="30" spans="2:8" x14ac:dyDescent="1.25">
      <c r="B30" s="2" t="s">
        <v>25</v>
      </c>
      <c r="C30" s="28">
        <v>227.58333333333334</v>
      </c>
      <c r="D30" s="4">
        <v>6.7000000000000004E-2</v>
      </c>
      <c r="E30" s="28">
        <v>234.41666666666666</v>
      </c>
      <c r="F30" s="4">
        <v>6.7000000000000004E-2</v>
      </c>
      <c r="G30" s="28">
        <v>277.66666666666669</v>
      </c>
      <c r="H30" s="4">
        <v>5.3999999999999999E-2</v>
      </c>
    </row>
    <row r="31" spans="2:8" x14ac:dyDescent="1.25">
      <c r="B31" s="2" t="s">
        <v>26</v>
      </c>
      <c r="C31" s="28">
        <v>263.08333333333331</v>
      </c>
      <c r="D31" s="4">
        <v>6.7000000000000004E-2</v>
      </c>
      <c r="E31" s="28">
        <v>275.41666666666669</v>
      </c>
      <c r="F31" s="4">
        <v>6.7000000000000004E-2</v>
      </c>
      <c r="G31" s="28">
        <v>294</v>
      </c>
      <c r="H31" s="4">
        <v>5.3999999999999999E-2</v>
      </c>
    </row>
    <row r="32" spans="2:8" x14ac:dyDescent="1.25">
      <c r="B32" s="2" t="s">
        <v>27</v>
      </c>
      <c r="C32" s="28">
        <v>183.91666666666666</v>
      </c>
      <c r="D32" s="4">
        <v>6.7000000000000004E-2</v>
      </c>
      <c r="E32" s="28">
        <v>192.16666666666666</v>
      </c>
      <c r="F32" s="4">
        <v>6.7000000000000004E-2</v>
      </c>
      <c r="G32" s="28">
        <v>202.16666666666666</v>
      </c>
      <c r="H32" s="4">
        <v>5.3999999999999999E-2</v>
      </c>
    </row>
    <row r="33" spans="2:8" x14ac:dyDescent="1.25">
      <c r="B33" s="2" t="s">
        <v>28</v>
      </c>
      <c r="C33" s="28">
        <v>213.33333333333334</v>
      </c>
      <c r="D33" s="4">
        <v>6.7000000000000004E-2</v>
      </c>
      <c r="E33" s="28">
        <v>222.91666666666666</v>
      </c>
      <c r="F33" s="4">
        <v>6.7000000000000004E-2</v>
      </c>
      <c r="G33" s="28">
        <v>236.33333333333334</v>
      </c>
      <c r="H33" s="4">
        <v>5.3999999999999999E-2</v>
      </c>
    </row>
    <row r="34" spans="2:8" x14ac:dyDescent="1.25">
      <c r="B34" s="2" t="s">
        <v>29</v>
      </c>
      <c r="C34" s="28">
        <v>213</v>
      </c>
      <c r="D34" s="4">
        <v>6.7000000000000004E-2</v>
      </c>
      <c r="E34" s="28">
        <v>226.41666666666666</v>
      </c>
      <c r="F34" s="4">
        <v>6.7000000000000004E-2</v>
      </c>
      <c r="G34" s="28">
        <v>258.5</v>
      </c>
      <c r="H34" s="4">
        <v>5.3999999999999999E-2</v>
      </c>
    </row>
    <row r="35" spans="2:8" x14ac:dyDescent="1.25">
      <c r="B35" s="2" t="s">
        <v>30</v>
      </c>
      <c r="C35" s="28">
        <v>178.83333333333334</v>
      </c>
      <c r="D35" s="4">
        <v>6.7000000000000004E-2</v>
      </c>
      <c r="E35" s="28">
        <v>193.91666666666666</v>
      </c>
      <c r="F35" s="4">
        <v>6.7000000000000004E-2</v>
      </c>
      <c r="G35" s="28">
        <v>193.91666666666666</v>
      </c>
      <c r="H35" s="4">
        <v>5.3999999999999999E-2</v>
      </c>
    </row>
    <row r="36" spans="2:8" x14ac:dyDescent="1.25">
      <c r="B36" s="2" t="s">
        <v>31</v>
      </c>
      <c r="C36" s="28">
        <v>190.75</v>
      </c>
      <c r="D36" s="4">
        <v>6.7000000000000004E-2</v>
      </c>
      <c r="E36" s="28">
        <v>199.08333333333334</v>
      </c>
      <c r="F36" s="4">
        <v>6.7000000000000004E-2</v>
      </c>
      <c r="G36" s="28">
        <v>208.33333333333334</v>
      </c>
      <c r="H36" s="4">
        <v>5.3999999999999999E-2</v>
      </c>
    </row>
    <row r="37" spans="2:8" x14ac:dyDescent="1.25">
      <c r="B37" s="2" t="s">
        <v>32</v>
      </c>
      <c r="C37" s="28">
        <v>203.91666666666666</v>
      </c>
      <c r="D37" s="4">
        <v>6.7000000000000004E-2</v>
      </c>
      <c r="E37" s="28">
        <v>213</v>
      </c>
      <c r="F37" s="4">
        <v>6.7000000000000004E-2</v>
      </c>
      <c r="G37" s="28">
        <v>229.25</v>
      </c>
      <c r="H37" s="4">
        <v>5.3999999999999999E-2</v>
      </c>
    </row>
    <row r="38" spans="2:8" x14ac:dyDescent="1.25">
      <c r="B38" s="2" t="s">
        <v>33</v>
      </c>
      <c r="C38" s="28">
        <v>204</v>
      </c>
      <c r="D38" s="4">
        <v>6.7000000000000004E-2</v>
      </c>
      <c r="E38" s="28">
        <v>213</v>
      </c>
      <c r="F38" s="4">
        <v>6.7000000000000004E-2</v>
      </c>
      <c r="G38" s="28">
        <v>230</v>
      </c>
      <c r="H38" s="4">
        <v>5.3999999999999999E-2</v>
      </c>
    </row>
    <row r="39" spans="2:8" x14ac:dyDescent="1.25">
      <c r="B39" s="2" t="s">
        <v>34</v>
      </c>
      <c r="C39" s="28">
        <v>202.58333333333334</v>
      </c>
      <c r="D39" s="4">
        <v>6.7000000000000004E-2</v>
      </c>
      <c r="E39" s="28">
        <v>215</v>
      </c>
      <c r="F39" s="4">
        <v>6.7000000000000004E-2</v>
      </c>
      <c r="G39" s="28">
        <v>96.083333333333329</v>
      </c>
      <c r="H39" s="4">
        <v>5.3999999999999999E-2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8 8 2 0 9 3 - b 7 c 2 - 4 b 0 3 - b 9 9 1 - 1 0 7 f 9 f 2 f 7 7 b d "   x m l n s = " h t t p : / / s c h e m a s . m i c r o s o f t . c o m / D a t a M a s h u p " > A A A A A N E L A A B Q S w M E F A A C A A g A R I V 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E h W 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I V n W v f y l h n J C A A A D k E A A B M A H A B G b 3 J t d W x h c y 9 T Z W N 0 a W 9 u M S 5 t I K I Y A C i g F A A A A A A A A A A A A A A A A A A A A A A A A A A A A O 1 a b W / i S B L + P t L 8 h x a r P R E t y w X I n H R 3 y g c P M B l m E 2 C B 2 S i b R F F j N 9 C K s a 1 2 O w k X 5 b 9 f t d + N u 2 1 D d n a y K / K B g L u 6 X p 6 u r q p u l 0 t 0 T m 0 L T Y P / r f + + f / f + n b v C j B j o 4 m w 4 6 Z 9 p 6 B S Z h L 9 / h + B v a n t M J / C k 6 z 4 0 e 7 b u r Y n F 6 5 + o S Z p d 2 + L w w 6 3 X u v + 5 + e o S 5 t 5 o F j X x z c g i P U Y f y E 1 E 7 9 6 0 j 9 s f U A 9 z j D Q L m x u X 3 0 y I C 2 N I X 2 H T J N a S 3 I T C m 7 r 7 U D t q X P e I S d e U E 3 Z a a 9 Q a q G u b 3 t p y T z v H D d S 3 d N u g 1 v K 0 1 f 7 Q b q B f P Z u T K d + Y 5 D T 5 2 h z a F r k 9 a g R W / F A b M 3 s N Y w b 6 T L A B q t b A p B m e A 2 E 4 E j 6 v B w Y 3 0 H X 4 X D P N q Y 5 N z N x T z r w 0 y + 4 K g 9 4 G m m 0 c k r C b M W y 5 C 5 u t A 4 3 F o F u X y G 8 8 P 9 d m N s c m G t p N Z C / Q F 3 v e x c x w E X V d j x h g 8 8 D i / z p p C g 4 v D b R F f W m z e 5 9 N I Z U G a / x A B G v k 8 6 5 G r u Q 9 7 a L H Y A z h J a a W y x E O p j w q p 8 x 2 n q I 5 D r M f A K p z P I f F Q B 8 9 Y 0 l 4 n m 4 M s 2 3 L w B t X 6 N 4 F P 2 N g y j n F c 2 p S v k G u j R a Y S a 1 w 4 q l S j Y u G L 2 3 w a D Q u o N A e C M N L g i L N y N o x 7 Y 3 Y B 0 g Y R g 0 w D S S g z 7 b n k p V t S p Y 6 Y n E p P h j m x J 8 A D P 3 / g X r 1 i d s 8 U i + o k P z 5 s 4 t 0 G 8 Q T 4 X m t 4 2 P Y g o F O P u N + r J i K T a y i G z i F 0 i s H l k H B M g + b a s o e X S w I A 2 n m B o m t Y o S G u I E r S G Y M v f U c 7 A V 9 z 8 Z A R f k K D Q f n i D w 5 F X a H C x v y n l i e g + p D 8 v j T 1 K G m i U Y A r A S 0 R N D I W t o Q W g I O R Y T d G F c F 6 Y + C a j i 5 Q P 0 n h w A 8 3 G O k P v b m J t X R T y n A J O r 4 U 7 u w 7 E u b b d D H Q g k p 7 g j C u r Z k V P d M / + c / M r 8 g k F G 1 t g F 8 w E y 4 F a I W b L 7 7 l d T B h O u 4 P t U g p J I Q X Y D y j A J H b B n I v Q f o h e g q M w N F N G O d s a x Q q 5 c k J n 8 Z f U R d b d J D X 2 e D 8 8 H v 2 m w w G i a x W T O M I C r X t 6 J 3 A 9 W i G I m + c g g f / 8 N + k o Q B g v U V q l 8 X h t V b 9 E 9 0 X R T M b 4 / k a a N V m j e k B o n c o d I X I p M O e w y g z o F z O Z r 8 0 p + g s T a Z D b q D s c 8 L T b R Z H 4 2 7 s 3 K U W g K m I D e g M W a c 6 t Q J x E 5 g t Y u h C l N K H q h o Q A F Q u x S g Y q M E U k U q c + C C L H 9 T + 9 6 n Q j V N l 0 I U U k l e c D m S b Y G k m J t R i W V Q L M 2 1 e S y 3 s F Z A 2 i m F V G 6 V g F K l s w q e 2 V 7 w d H x 4 Z o V O V l p X 7 A v P S T k 8 U q t 8 e B Q 6 K + A J S 4 n 8 j F K E T o K t q J g e g k Q X U M R W q p F u Q e A x 8 r X i K + A Z f i e m S 9 D 1 d s H j A 1 u R r x z i D + W b W m n a 8 3 O R 3 d v b e Z 9 S T L F Y X y 2 H P v g V f H g U S Y w I h 0 a A H Q s H 6 9 s W C 2 1 c D l r e W X j t J x y D u h y y M 4 8 f l J w G V P V / a c V f U u N X q u o r 1 f H q y n 2 v h d i p C t 6 7 7 i 2 o d I t q 2 y r V b H H 9 u m P F W l C j F l a l O 9 W h y s r z d b V m U X W p q C d 3 q S A r 1 4 z K 9 F 5 Y I y i z n j L e q 0 P U i 3 B r D v t + 7 g W U v 2 H T I 7 U k z E y I C A e S I B M M J O E l H 4 9 E b M z w T g X p 5 L k f F w O p M X K p 0 y y E v P f v q K V S J 3 1 b 9 E N N + 6 0 / 0 c 7 6 6 F J 8 R L k 9 f 3 X U f 9 K J 2 R Q Q z 2 3 7 / l t e H i E g 7 f w M H y f o 0 x V 6 j O J G 8 8 l 0 n w B k C O u m C R G e e S R B H D 8 s 7 w T l n Y O p g e q t o 7 v p i k D U A s U D C 5 6 v B 5 y s T / O E t c Y v 1 D J O a w H 9 7 c u 1 0 P F 2 9 y s n t Q 5 V r q E m Z O 3 H 3 I 8 2 5 / Y a T e z H j N e I w X P s 8 q H 0 E q q 1 5 3 W W T K j v f 4 F H J A 6 R z 8 k X m O k r y f N P Z M 4 8 z D a y q h x b i p E e 0 Y n 4 I R k a g o K K o Z H O b f n I l D h c N U v z I P h w m X q e K d X a s 2 Q 1 y Q W W E W s O o 6 b U C k 4 X N A x 9 g T P L 1 B Z p R F 2 7 V A 4 q 2 U O x f D 2 z a V l E N b H r T s S u 6 9 T S U i 8 I E 7 x + 9 S C O k 5 T Q I a B I j C + Q w u p 5 1 X x r e B g q c x u j f Z Q l k I 4 L z m J j N s / J g o 8 g 5 r F E J 8 g P k E 9 A X n 5 i r F 9 A 4 3 + P i + 8 t W x S S n + X Y t E N s S g n 2 v S Q o s M p f x A K Z S p / J W t x S L N / 2 / U D R 4 n V K F q + z 7 + J 1 d l q 8 l m T 1 O g W r 1 x J A t Q t W L y L Y 9 w a j w C z l 6 o U y q + 7 4 V r U t 3 1 Y L P I n c R T 4 c J N 3 a q w 5 M O Z 3 T k S 1 0 G 1 H s S i N i H E D D + B p F 3 y g 4 J 9 E 7 E + N T q S C d M N J 5 J Z V 9 0 j k q z G O 7 F n T t V 1 V 0 n 6 i F L V 1 U x V c E s w z c / S c 4 g u v c P 3 z B 4 Q y W 1 f + Z L j u 2 / E + C u f A o k L k l J r x P m J E n 3 u x b R v 2 u g f 5 9 F L o e h 4 d p N T R D e H L X c 6 E s k N 9 j q B U V B l 5 F 0 u A r q s G x 4 j q r j K T w k W Q 1 M Z A Y m d G p k T M v s 2 1 s B o W R n K k / l I Y u K 7 7 x 9 p 0 1 A j h 0 U n W 8 6 K i 9 N A + R 8 N K A b Y F 7 Z m N w u 1 o 1 0 E k l D A l 7 8 R J g Y f q n q x K 6 W k x Y N c U k E 3 Z I L f 6 9 b l p U d N L y k 0 c 8 0 I z g T 5 + 0 J J K z h y 1 p x f K 9 D 1 t B F b H 3 Y a t d 9 b D V / n a H r f Z u h 6 2 K l b T 0 f X 8 u d S r z a T s u p 6 u f x q V V 0 f d 2 k K B Q 2 d t B O l U d p P P t H K R T w U H S q 5 S T l F 6 m e H d / 7 7 W B F U k C k n p F Y p o A g 9 w y p K L d H w P / l s A / p x E H w E i K 2 P w 7 V P 9 6 4 i p z a l K T x K V 5 w Z v Y V 7 1 M 2 D p F F V a f P c 8 x q Y 4 T S Y m g e C h O Z p I C d I t 9 / A P 9 D D T O p r Z H N Z Z X q f G c Z 7 z P 7 U W + I i s t n 6 t H 1 2 j f K B P v o U F u 1 1 i Y g D r t o u k M X Y 4 u + k M 0 7 k + m o 2 F P u 5 o e c D 4 0 I h 4 a E Q + N i I d G x C L C Q y P i o R H x 0 I h 4 a E Q 8 N C I W w H N o R D w 0 I v 5 N G h E r H 7 S 3 G h C f / 2 I d h 9 + 9 V + s N 9 a 2 9 + Q a / t 9 Q N + a b b R v d r h F X 2 1 Z a f a l O R 4 4 z Z n g N c s i 1 i / l P Z 7 V m 2 Y / n F f z O c u p w J g / s 5 B J X m 1 F v X q 4 f i K L K Z p l A g 0 8 f U z b P N n J K L Z 8 8 k s 2 d V Z / u 3 T 3 k G u a y j 4 v G a 6 9 3 M y u S B l 9 7 x p q / Z 8 g L l 9 2 x l d 2 s h 3 a 6 5 J r y q + q t l m E N P + 6 G n / d D T / k f U S R V v Q F / X H V a W n v a J k v 8 H U E s B A i 0 A F A A C A A g A R I V n W s i A H 7 C m A A A A 9 w A A A B I A A A A A A A A A A A A A A A A A A A A A A E N v b m Z p Z y 9 Q Y W N r Y W d l L n h t b F B L A Q I t A B Q A A g A I A E S F Z 1 o P y u m r p A A A A O k A A A A T A A A A A A A A A A A A A A A A A P I A A A B b Q 2 9 u d G V u d F 9 U e X B l c 1 0 u e G 1 s U E s B A i 0 A F A A C A A g A R I V n W v f y l h n J C A A A D k E A A B M A A A A A A A A A A A A A A A A A 4 w E A A E Z v c m 1 1 b G F z L 1 N l Y 3 R p b 2 4 x L m 1 Q S w U G A A A A A A M A A w D C A A A A + 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L E A A A A A A A C q 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U d O U k V H Q T w v S X R l b V B h d G g + P C 9 J d G V t T G 9 j Y X R p b 2 4 + P F N 0 Y W J s Z U V u d H J p Z X M + P E V u d H J 5 I F R 5 c G U 9 I k l z U H J p d m F 0 Z S I g V m F s d W U 9 I m w w I i A v P j x F b n R y e S B U e X B l P S J R d W V y e U l E I i B W Y W x 1 Z T 0 i c z k 2 Z D U x Z G N m L T U 0 Y j I t N D M 1 M y 1 h M W V h L W R m M z F m N z Q 4 M 2 R l M i I g L z 4 8 R W 5 0 c n k g V H l w Z T 0 i R m l s b E V u Y W J s Z W Q i I F Z h b H V l P S J s M C I g L z 4 8 R W 5 0 c n k g V H l w Z T 0 i R m l s b E x h c 3 R V c G R h d G V k I i B W Y W x 1 Z T 0 i Z D I w M j U t M D M t M D d U M T A 6 M z U 6 N T Y u M D E 5 M z k 5 M F o 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m d Z R E F 3 T U R B d 0 1 E Q l F N R E F 3 T U R B d 0 1 E Q X d N R E F 3 T U R B d 0 1 G Q l F V R k J R W U Q i I C 8 + P E V u d H J 5 I F R 5 c G U 9 I k Z p b G x l Z E N v b X B s Z X R l U m V z d W x 0 V G 9 X b 3 J r c 2 h l Z X Q i I F Z h b H V l P S J s M C I g L z 4 8 R W 5 0 c n k g V H l w Z T 0 i R m l s b F R v R G F 0 Y U 1 v Z G V s R W 5 h Y m x l Z C I g V m F s d W U 9 I m w x I i A v P j x F b n R y e S B U e X B l P S J Q a X Z v d E 9 i a m V j d E 5 h b W U i I F Z h b H V l P S J z S m 9 i I E N h c m Q g V X R p b G l 6 Y X R p b 2 4 g c m F 0 Z S F Q a X Z v d F R h Y m x l M y 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0 1 H T l J F R 0 E v V W 5 w a X Z v d G V k I E N v b H V t b n M u e 3 N 0 Y X R l X 2 5 h b W U s M H 0 m c X V v d D s s J n F 1 b 3 Q 7 U 2 V j d G l v b j E v T U d O U k V H Q S 9 V b n B p d m 9 0 Z W Q g Q 2 9 s d W 1 u c y 5 7 Z G l z d H J p Y 3 R f b m F t Z S w x f S Z x d W 9 0 O y w m c X V v d D t T Z W N 0 a W 9 u M S 9 N R 0 5 S R U d B L 1 V u c G l 2 b 3 R l Z C B D b 2 x 1 b W 5 z L n t U b 3 R h b C B O b y 4 g b 2 Y g S m 9 i Q 2 F y Z H M g a X N z d W V k L D J 9 J n F 1 b 3 Q 7 L C Z x d W 9 0 O 1 N l Y 3 R p b 2 4 x L 0 1 H T l J F R 0 E v V W 5 w a X Z v d G V k I E N v b H V t b n M u e 1 R v d G F s I E 5 v L i B v Z i B X b 3 J r Z X J z L D N 9 J n F 1 b 3 Q 7 L C Z x d W 9 0 O 1 N l Y 3 R p b 2 4 x L 0 1 H T l J F R 0 E v V W 5 w a X Z v d G V k I E N v b H V t b n M u e 1 R v d G F s I E 5 v L i B v Z i B B Y 3 R p d m U g S m 9 i I E N h c m R z L D R 9 J n F 1 b 3 Q 7 L C Z x d W 9 0 O 1 N l Y 3 R p b 2 4 x L 0 1 H T l J F R 0 E v V W 5 w a X Z v d G V k I E N v b H V t b n M u e 1 R v d G F s I E 5 v L i B v Z i B B Y 3 R p d m U g V 2 9 y a 2 V y c y w 1 f S Z x d W 9 0 O y w m c X V v d D t T Z W N 0 a W 9 u M S 9 N R 0 5 S R U d B L 1 V u c G l 2 b 3 R l Z C B D b 2 x 1 b W 5 z L n t T Q y B 3 b 3 J r Z X J z I G F n Y W l u c 3 Q g Y W N 0 a X Z l I H d v c m t l c n M s N n 0 m c X V v d D s s J n F 1 b 3 Q 7 U 2 V j d G l v b j E v T U d O U k V H Q S 9 V b n B p d m 9 0 Z W Q g Q 2 9 s d W 1 u c y 5 7 U 1 Q g d 2 9 y a 2 V y c y B h Z 2 F p b n N 0 I G F j d G l 2 Z S B 3 b 3 J r Z X J z L D d 9 J n F 1 b 3 Q 7 L C Z x d W 9 0 O 1 N l Y 3 R p b 2 4 x L 0 1 H T l J F R 0 E v V W 5 w a X Z v d G V k I E N v b H V t b n M u e 0 F w c H J v d m V k I E x h Y m 9 1 c i B C d W R n Z X Q s O H 0 m c X V v d D s s J n F 1 b 3 Q 7 U 2 V j d G l v b j E v T U d O U k V H Q S 9 V b n B p d m 9 0 Z W Q g Q 2 9 s d W 1 u c y 5 7 Q X Z l c m F n Z S B k Y X l z I G 9 m I G V t c G x v e W 1 l b n Q g c H J v d m l k Z W Q g c G V y I E h v d X N l a G 9 s Z C w 5 f S Z x d W 9 0 O y w m c X V v d D t T Z W N 0 a W 9 u M S 9 N R 0 5 S R U d B L 1 V u c G l 2 b 3 R l Z C B D b 2 x 1 b W 5 z L n t B d m V y Y W d l I F d h Z 2 U g c m F 0 Z S B w Z X I g Z G F 5 I H B l c i B w Z X J z b 2 4 o U n M u K S w x M H 0 m c X V v d D s s J n F 1 b 3 Q 7 U 2 V j d G l v b j E v T U d O U k V H Q S 9 V b n B p d m 9 0 Z W Q g Q 2 9 s d W 1 u c y 5 7 V G 9 0 Y W w g T m 8 g b 2 Y g S E h z I G N v b X B s Z X R l Z C A x M D A g R G F 5 c y B v Z i B X Y W d l I E V t c G x v e W 1 l b n Q s M T F 9 J n F 1 b 3 Q 7 L C Z x d W 9 0 O 1 N l Y 3 R p b 2 4 x L 0 1 H T l J F R 0 E v V W 5 w a X Z v d G V k I E N v b H V t b n M u e 1 R v d G F s I E h v d X N l a G 9 s Z H M g V 2 9 y a 2 V k L D E y f S Z x d W 9 0 O y w m c X V v d D t T Z W N 0 a W 9 u M S 9 N R 0 5 S R U d B L 1 V u c G l 2 b 3 R l Z C B D b 2 x 1 b W 5 z L n t U b 3 R h b C B J b m R p d m l k d W F s c y B X b 3 J r Z W Q s M T N 9 J n F 1 b 3 Q 7 L C Z x d W 9 0 O 1 N l Y 3 R p b 2 4 x L 0 1 H T l J F R 0 E v V W 5 w a X Z v d G V k I E N v b H V t b n M u e 0 R p Z m Z l c m V u d G x 5 I G F i b G V k I H B l c n N v b n M g d 2 9 y a 2 V k L D E 0 f S Z x d W 9 0 O y w m c X V v d D t T Z W N 0 a W 9 u M S 9 N R 0 5 S R U d B L 1 V u c G l 2 b 3 R l Z C B D b 2 x 1 b W 5 z L n t O d W 1 i Z X I g b 2 Y g R 1 B z I H d p d G g g T k l M I G V 4 c C w x N X 0 m c X V v d D s s J n F 1 b 3 Q 7 U 2 V j d G l v b j E v T U d O U k V H Q S 9 V b n B p d m 9 0 Z W Q g Q 2 9 s d W 1 u c y 5 7 V G 9 0 Y W w g T m 8 u I G 9 m I F d v c m t z I F R h a 2 V u d X A g K E 5 l d y t T c G l s b C B P d m V y K S w x N n 0 m c X V v d D s s J n F 1 b 3 Q 7 U 2 V j d G l v b j E v T U d O U k V H Q S 9 V b n B p d m 9 0 Z W Q g Q 2 9 s d W 1 u c y 5 7 T n V t Y m V y I G 9 m I E 9 u Z 2 9 p b m c g V 2 9 y a 3 M s M T d 9 J n F 1 b 3 Q 7 L C Z x d W 9 0 O 1 N l Y 3 R p b 2 4 x L 0 1 H T l J F R 0 E v V W 5 w a X Z v d G V k I E N v b H V t b n M u e 0 5 1 b W J l c i B v Z i B D b 2 1 w b G V 0 Z W Q g V 2 9 y a 3 M s M T h 9 J n F 1 b 3 Q 7 L C Z x d W 9 0 O 1 N l Y 3 R p b 2 4 x L 0 1 H T l J F R 0 E v V W 5 w a X Z v d G V k I E N v b H V t b n M u e y U g b 2 Y g T l J N I E V 4 c G V u Z G l 0 d X J l K F B 1 Y m x p Y y A r I E l u Z G l 2 a W R 1 Y W w p L D E 5 f S Z x d W 9 0 O y w m c X V v d D t T Z W N 0 a W 9 u M S 9 N R 0 5 S R U d B L 1 V u c G l 2 b 3 R l Z C B D b 2 x 1 b W 5 z L n s l I G 9 m I E N h d G V n b 3 J 5 I E I g V 2 9 y a 3 M s M j B 9 J n F 1 b 3 Q 7 L C Z x d W 9 0 O 1 N l Y 3 R p b 2 4 x L 0 1 H T l J F R 0 E v V W 5 w a X Z v d G V k I E N v b H V t b n M u e y U g b 2 Y g R X h w Z W 5 k a X R 1 c m U g b 2 4 g Q W d y a W N 1 b H R 1 c m U g X H U w M D I 2 I E F n c m l j d W x 0 d X J l I E F s b G l l Z C B X b 3 J r c y w y M X 0 m c X V v d D s s J n F 1 b 3 Q 7 U 2 V j d G l v b j E v T U d O U k V H Q S 9 V b n B p d m 9 0 Z W Q g Q 2 9 s d W 1 u c y 5 7 V G 9 0 Y W w g R X h w K F J z L i B p b i B M Y W t o c y 4 p L D I y f S Z x d W 9 0 O y w m c X V v d D t T Z W N 0 a W 9 u M S 9 N R 0 5 S R U d B L 1 V u c G l 2 b 3 R l Z C B D b 2 x 1 b W 5 z L n t X Y W d l c y h S c y 4 g S W 4 g T G F r a H M p L D I z f S Z x d W 9 0 O y w m c X V v d D t T Z W N 0 a W 9 u M S 9 N R 0 5 S R U d B L 1 V u c G l 2 b 3 R l Z C B D b 2 x 1 b W 5 z L n t N Y X R l c m l h b C B h b m Q g c 2 t p b G x l Z C B X Y W d l c y h S c y 4 g S W 4 g T G F r a H M p L D I 0 f S Z x d W 9 0 O y w m c X V v d D t T Z W N 0 a W 9 u M S 9 N R 0 5 S R U d B L 1 V u c G l 2 b 3 R l Z C B D b 2 x 1 b W 5 z L n t U b 3 R h b C B B Z G 0 g R X h w Z W 5 k a X R 1 c m U g K F J z L i B p b i B M Y W t o c y 4 p L D I 1 f S Z x d W 9 0 O y w m c X V v d D t T Z W N 0 a W 9 u M S 9 N R 0 5 S R U d B L 1 V u c G l 2 b 3 R l Z C B D b 2 x 1 b W 5 z L n t K b 2 I g Q 2 F y Z C B V d G l s a X p h d G l v b i A s M j Z 9 J n F 1 b 3 Q 7 L C Z x d W 9 0 O 1 N l Y 3 R p b 2 4 x L 0 1 H T l J F R 0 E v V W 5 w a X Z v d G V k I E N v b H V t b n M u e 1 d v c m t l c i B Q Y X J 0 a W N p c G F 0 a W 9 u I F J h d G U s M j d 9 J n F 1 b 3 Q 7 L C Z x d W 9 0 O 1 N l Y 3 R p b 2 4 x L 0 1 H T l J F R 0 E v V W 5 w a X Z v d G V k I E N v b H V t b n M u e 1 N D I F B h c n R p Y 2 l w Y X R p b 2 4 g c m F 0 Z S w y O H 0 m c X V v d D s s J n F 1 b 3 Q 7 U 2 V j d G l v b j E v T U d O U k V H Q S 9 V b n B p d m 9 0 Z W Q g Q 2 9 s d W 1 u c y 5 7 U 1 Q g U G F y d G l j a X B h d G l v b i B S Y X R l L D I 5 f S Z x d W 9 0 O y w m c X V v d D t T Z W N 0 a W 9 u M S 9 N R 0 5 S R U d B L 1 V u c G l 2 b 3 R l Z C B D b 2 x 1 b W 5 z L n t X b 2 1 l b i B Q Y X J 0 a W N p c G F 0 a W 9 u I F J h d G U s M z B 9 J n F 1 b 3 Q 7 L C Z x d W 9 0 O 1 N l Y 3 R p b 2 4 x L 0 1 H T l J F R 0 E v V W 5 w a X Z v d G V k I E N v b H V t b n M u e 0 F 0 d H J p Y n V 0 Z S w z M X 0 m c X V v d D s s J n F 1 b 3 Q 7 U 2 V j d G l v b j E v T U d O U k V H Q S 9 V b n B p d m 9 0 Z W Q g Q 2 9 s d W 1 u c y 5 7 V m F s d W U s M z J 9 J n F 1 b 3 Q 7 X S w m c X V v d D t D b 2 x 1 b W 5 D b 3 V u d C Z x d W 9 0 O z o z M y w m c X V v d D t L Z X l D b 2 x 1 b W 5 O Y W 1 l c y Z x d W 9 0 O z p b X S w m c X V v d D t D b 2 x 1 b W 5 J Z G V u d G l 0 a W V z J n F 1 b 3 Q 7 O l s m c X V v d D t T Z W N 0 a W 9 u M S 9 N R 0 5 S R U d B L 1 V u c G l 2 b 3 R l Z C B D b 2 x 1 b W 5 z L n t z d G F 0 Z V 9 u Y W 1 l L D B 9 J n F 1 b 3 Q 7 L C Z x d W 9 0 O 1 N l Y 3 R p b 2 4 x L 0 1 H T l J F R 0 E v V W 5 w a X Z v d G V k I E N v b H V t b n M u e 2 R p c 3 R y a W N 0 X 2 5 h b W U s M X 0 m c X V v d D s s J n F 1 b 3 Q 7 U 2 V j d G l v b j E v T U d O U k V H Q S 9 V b n B p d m 9 0 Z W Q g Q 2 9 s d W 1 u c y 5 7 V G 9 0 Y W w g T m 8 u I G 9 m I E p v Y k N h c m R z I G l z c 3 V l Z C w y f S Z x d W 9 0 O y w m c X V v d D t T Z W N 0 a W 9 u M S 9 N R 0 5 S R U d B L 1 V u c G l 2 b 3 R l Z C B D b 2 x 1 b W 5 z L n t U b 3 R h b C B O b y 4 g b 2 Y g V 2 9 y a 2 V y c y w z f S Z x d W 9 0 O y w m c X V v d D t T Z W N 0 a W 9 u M S 9 N R 0 5 S R U d B L 1 V u c G l 2 b 3 R l Z C B D b 2 x 1 b W 5 z L n t U b 3 R h b C B O b y 4 g b 2 Y g Q W N 0 a X Z l I E p v Y i B D Y X J k c y w 0 f S Z x d W 9 0 O y w m c X V v d D t T Z W N 0 a W 9 u M S 9 N R 0 5 S R U d B L 1 V u c G l 2 b 3 R l Z C B D b 2 x 1 b W 5 z L n t U b 3 R h b C B O b y 4 g b 2 Y g Q W N 0 a X Z l I F d v c m t l c n M s N X 0 m c X V v d D s s J n F 1 b 3 Q 7 U 2 V j d G l v b j E v T U d O U k V H Q S 9 V b n B p d m 9 0 Z W Q g Q 2 9 s d W 1 u c y 5 7 U 0 M g d 2 9 y a 2 V y c y B h Z 2 F p b n N 0 I G F j d G l 2 Z S B 3 b 3 J r Z X J z L D Z 9 J n F 1 b 3 Q 7 L C Z x d W 9 0 O 1 N l Y 3 R p b 2 4 x L 0 1 H T l J F R 0 E v V W 5 w a X Z v d G V k I E N v b H V t b n M u e 1 N U I H d v c m t l c n M g Y W d h a W 5 z d C B h Y 3 R p d m U g d 2 9 y a 2 V y c y w 3 f S Z x d W 9 0 O y w m c X V v d D t T Z W N 0 a W 9 u M S 9 N R 0 5 S R U d B L 1 V u c G l 2 b 3 R l Z C B D b 2 x 1 b W 5 z L n t B c H B y b 3 Z l Z C B M Y W J v d X I g Q n V k Z 2 V 0 L D h 9 J n F 1 b 3 Q 7 L C Z x d W 9 0 O 1 N l Y 3 R p b 2 4 x L 0 1 H T l J F R 0 E v V W 5 w a X Z v d G V k I E N v b H V t b n M u e 0 F 2 Z X J h Z 2 U g Z G F 5 c y B v Z i B l b X B s b 3 l t Z W 5 0 I H B y b 3 Z p Z G V k I H B l c i B I b 3 V z Z W h v b G Q s O X 0 m c X V v d D s s J n F 1 b 3 Q 7 U 2 V j d G l v b j E v T U d O U k V H Q S 9 V b n B p d m 9 0 Z W Q g Q 2 9 s d W 1 u c y 5 7 Q X Z l c m F n Z S B X Y W d l I H J h d G U g c G V y I G R h e S B w Z X I g c G V y c 2 9 u K F J z L i k s M T B 9 J n F 1 b 3 Q 7 L C Z x d W 9 0 O 1 N l Y 3 R p b 2 4 x L 0 1 H T l J F R 0 E v V W 5 w a X Z v d G V k I E N v b H V t b n M u e 1 R v d G F s I E 5 v I G 9 m I E h I c y B j b 2 1 w b G V 0 Z W Q g M T A w I E R h e X M g b 2 Y g V 2 F n Z S B F b X B s b 3 l t Z W 5 0 L D E x f S Z x d W 9 0 O y w m c X V v d D t T Z W N 0 a W 9 u M S 9 N R 0 5 S R U d B L 1 V u c G l 2 b 3 R l Z C B D b 2 x 1 b W 5 z L n t U b 3 R h b C B I b 3 V z Z W h v b G R z I F d v c m t l Z C w x M n 0 m c X V v d D s s J n F 1 b 3 Q 7 U 2 V j d G l v b j E v T U d O U k V H Q S 9 V b n B p d m 9 0 Z W Q g Q 2 9 s d W 1 u c y 5 7 V G 9 0 Y W w g S W 5 k a X Z p Z H V h b H M g V 2 9 y a 2 V k L D E z f S Z x d W 9 0 O y w m c X V v d D t T Z W N 0 a W 9 u M S 9 N R 0 5 S R U d B L 1 V u c G l 2 b 3 R l Z C B D b 2 x 1 b W 5 z L n t E a W Z m Z X J l b n R s e S B h Y m x l Z C B w Z X J z b 2 5 z I H d v c m t l Z C w x N H 0 m c X V v d D s s J n F 1 b 3 Q 7 U 2 V j d G l v b j E v T U d O U k V H Q S 9 V b n B p d m 9 0 Z W Q g Q 2 9 s d W 1 u c y 5 7 T n V t Y m V y I G 9 m I E d Q c y B 3 a X R o I E 5 J T C B l e H A s M T V 9 J n F 1 b 3 Q 7 L C Z x d W 9 0 O 1 N l Y 3 R p b 2 4 x L 0 1 H T l J F R 0 E v V W 5 w a X Z v d G V k I E N v b H V t b n M u e 1 R v d G F s I E 5 v L i B v Z i B X b 3 J r c y B U Y W t l b n V w I C h O Z X c r U 3 B p b G w g T 3 Z l c i k s M T Z 9 J n F 1 b 3 Q 7 L C Z x d W 9 0 O 1 N l Y 3 R p b 2 4 x L 0 1 H T l J F R 0 E v V W 5 w a X Z v d G V k I E N v b H V t b n M u e 0 5 1 b W J l c i B v Z i B P b m d v a W 5 n I F d v c m t z L D E 3 f S Z x d W 9 0 O y w m c X V v d D t T Z W N 0 a W 9 u M S 9 N R 0 5 S R U d B L 1 V u c G l 2 b 3 R l Z C B D b 2 x 1 b W 5 z L n t O d W 1 i Z X I g b 2 Y g Q 2 9 t c G x l d G V k I F d v c m t z L D E 4 f S Z x d W 9 0 O y w m c X V v d D t T Z W N 0 a W 9 u M S 9 N R 0 5 S R U d B L 1 V u c G l 2 b 3 R l Z C B D b 2 x 1 b W 5 z L n s l I G 9 m I E 5 S T S B F e H B l b m R p d H V y Z S h Q d W J s a W M g K y B J b m R p d m l k d W F s K S w x O X 0 m c X V v d D s s J n F 1 b 3 Q 7 U 2 V j d G l v b j E v T U d O U k V H Q S 9 V b n B p d m 9 0 Z W Q g Q 2 9 s d W 1 u c y 5 7 J S B v Z i B D Y X R l Z 2 9 y e S B C I F d v c m t z L D I w f S Z x d W 9 0 O y w m c X V v d D t T Z W N 0 a W 9 u M S 9 N R 0 5 S R U d B L 1 V u c G l 2 b 3 R l Z C B D b 2 x 1 b W 5 z L n s l I G 9 m I E V 4 c G V u Z G l 0 d X J l I G 9 u I E F n c m l j d W x 0 d X J l I F x 1 M D A y N i B B Z 3 J p Y 3 V s d H V y Z S B B b G x p Z W Q g V 2 9 y a 3 M s M j F 9 J n F 1 b 3 Q 7 L C Z x d W 9 0 O 1 N l Y 3 R p b 2 4 x L 0 1 H T l J F R 0 E v V W 5 w a X Z v d G V k I E N v b H V t b n M u e 1 R v d G F s I E V 4 c C h S c y 4 g a W 4 g T G F r a H M u K S w y M n 0 m c X V v d D s s J n F 1 b 3 Q 7 U 2 V j d G l v b j E v T U d O U k V H Q S 9 V b n B p d m 9 0 Z W Q g Q 2 9 s d W 1 u c y 5 7 V 2 F n Z X M o U n M u I E l u I E x h a 2 h z K S w y M 3 0 m c X V v d D s s J n F 1 b 3 Q 7 U 2 V j d G l v b j E v T U d O U k V H Q S 9 V b n B p d m 9 0 Z W Q g Q 2 9 s d W 1 u c y 5 7 T W F 0 Z X J p Y W w g Y W 5 k I H N r a W x s Z W Q g V 2 F n Z X M o U n M u I E l u I E x h a 2 h z K S w y N H 0 m c X V v d D s s J n F 1 b 3 Q 7 U 2 V j d G l v b j E v T U d O U k V H Q S 9 V b n B p d m 9 0 Z W Q g Q 2 9 s d W 1 u c y 5 7 V G 9 0 Y W w g Q W R t I E V 4 c G V u Z G l 0 d X J l I C h S c y 4 g a W 4 g T G F r a H M u K S w y N X 0 m c X V v d D s s J n F 1 b 3 Q 7 U 2 V j d G l v b j E v T U d O U k V H Q S 9 V b n B p d m 9 0 Z W Q g Q 2 9 s d W 1 u c y 5 7 S m 9 i I E N h c m Q g V X R p b G l 6 Y X R p b 2 4 g L D I 2 f S Z x d W 9 0 O y w m c X V v d D t T Z W N 0 a W 9 u M S 9 N R 0 5 S R U d B L 1 V u c G l 2 b 3 R l Z C B D b 2 x 1 b W 5 z L n t X b 3 J r Z X I g U G F y d G l j a X B h d G l v b i B S Y X R l L D I 3 f S Z x d W 9 0 O y w m c X V v d D t T Z W N 0 a W 9 u M S 9 N R 0 5 S R U d B L 1 V u c G l 2 b 3 R l Z C B D b 2 x 1 b W 5 z L n t T Q y B Q Y X J 0 a W N p c G F 0 a W 9 u I H J h d G U s M j h 9 J n F 1 b 3 Q 7 L C Z x d W 9 0 O 1 N l Y 3 R p b 2 4 x L 0 1 H T l J F R 0 E v V W 5 w a X Z v d G V k I E N v b H V t b n M u e 1 N U I F B h c n R p Y 2 l w Y X R p b 2 4 g U m F 0 Z S w y O X 0 m c X V v d D s s J n F 1 b 3 Q 7 U 2 V j d G l v b j E v T U d O U k V H Q S 9 V b n B p d m 9 0 Z W Q g Q 2 9 s d W 1 u c y 5 7 V 2 9 t Z W 4 g U G F y d G l j a X B h d G l v b i B S Y X R l L D M w f S Z x d W 9 0 O y w m c X V v d D t T Z W N 0 a W 9 u M S 9 N R 0 5 S R U d B L 1 V u c G l 2 b 3 R l Z C B D b 2 x 1 b W 5 z L n t B d H R y a W J 1 d G U s M z F 9 J n F 1 b 3 Q 7 L C Z x d W 9 0 O 1 N l Y 3 R p b 2 4 x L 0 1 H T l J F R 0 E v V W 5 w a X Z v d G V k I E N v b H V t b n M u e 1 Z h b H V l L D M y f S Z x d W 9 0 O 1 0 s J n F 1 b 3 Q 7 U m V s Y X R p b 2 5 z a G l w S W 5 m b y Z x d W 9 0 O z p b X X 0 i I C 8 + P E V u d H J 5 I F R 5 c G U 9 I k Z p b G x D b 2 x 1 b W 5 O Y W 1 l c y I g V m F s d W U 9 I n N b J n F 1 b 3 Q 7 c 3 R h d G V f b m F t Z S Z x d W 9 0 O y w m c X V v d D t k a X N 0 c m l j d F 9 u Y W 1 l J n F 1 b 3 Q 7 L C Z x d W 9 0 O 1 R v d G F s I E 5 v L i B v Z i B K b 2 J D Y X J k c y B p c 3 N 1 Z W Q m c X V v d D s s J n F 1 b 3 Q 7 V G 9 0 Y W w g T m 8 u I G 9 m I F d v c m t l c n M m c X V v d D s s J n F 1 b 3 Q 7 V G 9 0 Y W w g T m 8 u I G 9 m I E F j d G l 2 Z S B K b 2 I g Q 2 F y Z H M m c X V v d D s s J n F 1 b 3 Q 7 V G 9 0 Y W w g T m 8 u I G 9 m I E F j d G l 2 Z S B X b 3 J r Z X J z J n F 1 b 3 Q 7 L C Z x d W 9 0 O 1 N D I H d v c m t l c n M g Y W d h a W 5 z d C B h Y 3 R p d m U g d 2 9 y a 2 V y c y Z x d W 9 0 O y w m c X V v d D t T V C B 3 b 3 J r Z X J z I G F n Y W l u c 3 Q g Y W N 0 a X Z l I H d v c m t l c n M m c X V v d D s s J n F 1 b 3 Q 7 Q X B w c m 9 2 Z W Q g T G F i b 3 V y I E J 1 Z G d l d C Z x d W 9 0 O y w m c X V v d D t B d m V y Y W d l I G R h e X M g b 2 Y g Z W 1 w b G 9 5 b W V u d C B w c m 9 2 a W R l Z C B w Z X I g S G 9 1 c 2 V o b 2 x k J n F 1 b 3 Q 7 L C Z x d W 9 0 O 0 F 2 Z X J h Z 2 U g V 2 F n Z S B y Y X R l I H B l c i B k Y X k g c G V y I H B l c n N v b i h S c y 4 p J n F 1 b 3 Q 7 L C Z x d W 9 0 O 1 R v d G F s I E 5 v I G 9 m I E h I c y B j b 2 1 w b G V 0 Z W Q g M T A w I E R h e X M g b 2 Y g V 2 F n Z S B F b X B s b 3 l t Z W 5 0 J n F 1 b 3 Q 7 L C Z x d W 9 0 O 1 R v d G F s I E h v d X N l a G 9 s Z H M g V 2 9 y a 2 V k J n F 1 b 3 Q 7 L C Z x d W 9 0 O 1 R v d G F s I E l u Z G l 2 a W R 1 Y W x z I F d v c m t l Z C Z x d W 9 0 O y w m c X V v d D t E a W Z m Z X J l b n R s e S B h Y m x l Z C B w Z X J z b 2 5 z I H d v c m t l Z C Z x d W 9 0 O y w m c X V v d D t O d W 1 i Z X I g b 2 Y g R 1 B z I H d p d G g g T k l M I G V 4 c C Z x d W 9 0 O y w m c X V v d D t U b 3 R h b C B O b y 4 g b 2 Y g V 2 9 y a 3 M g V G F r Z W 5 1 c C A o T m V 3 K 1 N w a W x s I E 9 2 Z X I p J n F 1 b 3 Q 7 L C Z x d W 9 0 O 0 5 1 b W J l c i B v Z i B P b m d v a W 5 n I F d v c m t z J n F 1 b 3 Q 7 L C Z x d W 9 0 O 0 5 1 b W J l c i B v Z i B D b 2 1 w b G V 0 Z W Q g V 2 9 y a 3 M m c X V v d D s s J n F 1 b 3 Q 7 J S B v Z i B O U k 0 g R X h w Z W 5 k a X R 1 c m U o U H V i b G l j I C s g S W 5 k a X Z p Z H V h b C k m c X V v d D s s J n F 1 b 3 Q 7 J S B v Z i B D Y X R l Z 2 9 y e S B C I F d v c m t z J n F 1 b 3 Q 7 L C Z x d W 9 0 O y U g b 2 Y g R X h w Z W 5 k a X R 1 c m U g b 2 4 g Q W d y a W N 1 b H R 1 c m U g X H U w M D I 2 I E F n c m l j d W x 0 d X J l I E F s b G l l Z C B X b 3 J r c y Z x d W 9 0 O y w m c X V v d D t U b 3 R h b C B F e H A o U n M u I G l u I E x h a 2 h z L i k m c X V v d D s s J n F 1 b 3 Q 7 V 2 F n Z X M o U n M u I E l u I E x h a 2 h z K S Z x d W 9 0 O y w m c X V v d D t N Y X R l c m l h b C B h b m Q g c 2 t p b G x l Z C B X Y W d l c y h S c y 4 g S W 4 g T G F r a H M p J n F 1 b 3 Q 7 L C Z x d W 9 0 O 1 R v d G F s I E F k b S B F e H B l b m R p d H V y Z S A o U n M u I G l u I E x h a 2 h z L i k m c X V v d D s s J n F 1 b 3 Q 7 S m 9 i I E N h c m Q g V X R p b G l 6 Y X R p b 2 4 g J n F 1 b 3 Q 7 L C Z x d W 9 0 O 1 d v c m t l c i B Q Y X J 0 a W N p c G F 0 a W 9 u I F J h d G U m c X V v d D s s J n F 1 b 3 Q 7 U 0 M g U G F y d G l j a X B h d G l v b i B y Y X R l J n F 1 b 3 Q 7 L C Z x d W 9 0 O 1 N U I F B h c n R p Y 2 l w Y X R p b 2 4 g U m F 0 Z S Z x d W 9 0 O y w m c X V v d D t X b 2 1 l b i B Q Y X J 0 a W N p c G F 0 a W 9 u I F J h d G U m c X V v d D s s J n F 1 b 3 Q 7 U G V y c 2 9 u Z G F 5 c y B B d H R y a W J 1 d G U m c X V v d D s s J n F 1 b 3 Q 7 V G 9 0 Y W w g U G V y c 2 9 u Z G F 5 c y Z x d W 9 0 O 1 0 i I C 8 + P E V u d H J 5 I F R 5 c G U 9 I k Z p b G x P Y m p l Y 3 R U e X B l I i B W Y W x 1 Z T 0 i c 1 B p d m 9 0 V G F i b G U i I C 8 + P E V u d H J 5 I F R 5 c G U 9 I k Z p b G x F c n J v c k N v d W 5 0 I i B W Y W x 1 Z T 0 i b D A i I C 8 + P E V u d H J 5 I F R 5 c G U 9 I k Z p b G x F c n J v c k N v Z G U i I F Z h b H V l P S J z V W 5 r b m 9 3 b i I g L z 4 8 R W 5 0 c n k g V H l w Z T 0 i R m l s b E N v d W 5 0 I i B W Y W x 1 Z T 0 i b D I 5 N j A i I C 8 + P E V u d H J 5 I F R 5 c G U 9 I k F k Z G V k V G 9 E Y X R h T W 9 k Z W w i I F Z h b H V l P S J s M S I g L z 4 8 L 1 N 0 Y W J s Z U V u d H J p Z X M + P C 9 J d G V t P j x J d G V t P j x J d G V t T G 9 j Y X R p b 2 4 + P E l 0 Z W 1 U e X B l P k Z v c m 1 1 b G E 8 L 0 l 0 Z W 1 U e X B l P j x J d G V t U G F 0 a D 5 T Z W N 0 a W 9 u M S 9 N R 0 5 S R U d B L 1 N v d X J j Z T w v S X R l b V B h d G g + P C 9 J d G V t T G 9 j Y X R p b 2 4 + P F N 0 Y W J s Z U V u d H J p Z X M g L z 4 8 L 0 l 0 Z W 0 + P E l 0 Z W 0 + P E l 0 Z W 1 M b 2 N h d G l v b j 4 8 S X R l b V R 5 c G U + R m 9 y b X V s Y T w v S X R l b V R 5 c G U + P E l 0 Z W 1 Q Y X R o P l N l Y 3 R p b 2 4 x L 0 1 H T l J F R 0 E v U H J v b W 9 0 Z W Q l M j B I Z W F k Z X J z P C 9 J d G V t U G F 0 a D 4 8 L 0 l 0 Z W 1 M b 2 N h d G l v b j 4 8 U 3 R h Y m x l R W 5 0 c m l l c y A v P j w v S X R l b T 4 8 S X R l b T 4 8 S X R l b U x v Y 2 F 0 a W 9 u P j x J d G V t V H l w Z T 5 G b 3 J t d W x h P C 9 J d G V t V H l w Z T 4 8 S X R l b V B h d G g + U 2 V j d G l v b j E v T U d O U k V H Q S 9 D a G F u Z 2 V k J T I w V H l w Z T w v S X R l b V B h d G g + P C 9 J d G V t T G 9 j Y X R p b 2 4 + P F N 0 Y W J s Z U V u d H J p Z X M g L z 4 8 L 0 l 0 Z W 0 + P E l 0 Z W 0 + P E l 0 Z W 1 M b 2 N h d G l v b j 4 8 S X R l b V R 5 c G U + R m 9 y b X V s Y T w v S X R l b V R 5 c G U + P E l 0 Z W 1 Q Y X R o P l N l Y 3 R p b 2 4 x L 0 1 H T l J F R 0 E v Q 2 h h b m d l Z C U y M F R 5 c G U x P C 9 J d G V t U G F 0 a D 4 8 L 0 l 0 Z W 1 M b 2 N h d G l v b j 4 8 U 3 R h Y m x l R W 5 0 c m l l c y A v P j w v S X R l b T 4 8 S X R l b T 4 8 S X R l b U x v Y 2 F 0 a W 9 u P j x J d G V t V H l w Z T 5 G b 3 J t d W x h P C 9 J d G V t V H l w Z T 4 8 S X R l b V B h d G g + U 2 V j d G l v b j E v T U d O U k V H Q S 9 X T 1 J L R V I l M j B Q Q V J U S U N J U E F U S U 9 O J T I w U k F U R S U y M F B D V D w v S X R l b V B h d G g + P C 9 J d G V t T G 9 j Y X R p b 2 4 + P F N 0 Y W J s Z U V u d H J p Z X M g L z 4 8 L 0 l 0 Z W 0 + P E l 0 Z W 0 + P E l 0 Z W 1 M b 2 N h d G l v b j 4 8 S X R l b V R 5 c G U + R m 9 y b X V s Y T w v S X R l b V R 5 c G U + P E l 0 Z W 1 Q Y X R o P l N l Y 3 R p b 2 4 x L 0 1 H T l J F R 0 E v S k 9 C J T I w Q 0 F S R C U y M F V U S U x J W k F U S U 9 O P C 9 J d G V t U G F 0 a D 4 8 L 0 l 0 Z W 1 M b 2 N h d G l v b j 4 8 U 3 R h Y m x l R W 5 0 c m l l c y A v P j w v S X R l b T 4 8 S X R l b T 4 8 S X R l b U x v Y 2 F 0 a W 9 u P j x J d G V t V H l w Z T 5 G b 3 J t d W x h P C 9 J d G V t V H l w Z T 4 8 S X R l b V B h d G g + U 2 V j d G l v b j E v T U d O U k V H Q S 9 D a G F u Z 2 V k J T I w V H l w Z T I 8 L 0 l 0 Z W 1 Q Y X R o P j w v S X R l b U x v Y 2 F 0 a W 9 u P j x T d G F i b G V F b n R y a W V z I C 8 + P C 9 J d G V t P j x J d G V t P j x J d G V t T G 9 j Y X R p b 2 4 + P E l 0 Z W 1 U e X B l P k Z v c m 1 1 b G E 8 L 0 l 0 Z W 1 U e X B l P j x J d G V t U G F 0 a D 5 T Z W N 0 a W 9 u M S 9 N R 0 5 S R U d B L 1 N D J T I w U E F S V E l D S V B B V E l P T i U y M F J B V E U 8 L 0 l 0 Z W 1 Q Y X R o P j w v S X R l b U x v Y 2 F 0 a W 9 u P j x T d G F i b G V F b n R y a W V z I C 8 + P C 9 J d G V t P j x J d G V t P j x J d G V t T G 9 j Y X R p b 2 4 + P E l 0 Z W 1 U e X B l P k Z v c m 1 1 b G E 8 L 0 l 0 Z W 1 U e X B l P j x J d G V t U G F 0 a D 5 T Z W N 0 a W 9 u M S 9 N R 0 5 S R U d B L 0 N o Y W 5 n Z W Q l M j B U e X B l M z w v S X R l b V B h d G g + P C 9 J d G V t T G 9 j Y X R p b 2 4 + P F N 0 Y W J s Z U V u d H J p Z X M g L z 4 8 L 0 l 0 Z W 0 + P E l 0 Z W 0 + P E l 0 Z W 1 M b 2 N h d G l v b j 4 8 S X R l b V R 5 c G U + R m 9 y b X V s Y T w v S X R l b V R 5 c G U + P E l 0 Z W 1 Q Y X R o P l N l Y 3 R p b 2 4 x L 0 1 H T l J F R 0 E v U 1 Q l M j B Q Q V J U S U N J U E F U S U 9 O J T I w U k F U R T w v S X R l b V B h d G g + P C 9 J d G V t T G 9 j Y X R p b 2 4 + P F N 0 Y W J s Z U V u d H J p Z X M g L z 4 8 L 0 l 0 Z W 0 + P E l 0 Z W 0 + P E l 0 Z W 1 M b 2 N h d G l v b j 4 8 S X R l b V R 5 c G U + R m 9 y b X V s Y T w v S X R l b V R 5 c G U + P E l 0 Z W 1 Q Y X R o P l N l Y 3 R p b 2 4 x L 0 1 H T l J F R 0 E v Q 2 h h b m d l Z C U y M F R 5 c G U 0 P C 9 J d G V t U G F 0 a D 4 8 L 0 l 0 Z W 1 M b 2 N h d G l v b j 4 8 U 3 R h Y m x l R W 5 0 c m l l c y A v P j w v S X R l b T 4 8 S X R l b T 4 8 S X R l b U x v Y 2 F 0 a W 9 u P j x J d G V t V H l w Z T 5 G b 3 J t d W x h P C 9 J d G V t V H l w Z T 4 8 S X R l b V B h d G g + U 2 V j d G l v b j E v T U d O U k V H Q S 9 X b 2 1 l b i U y M F B h c n R p Y 2 l w Y X R p b 2 4 l M j B S Y X R l P C 9 J d G V t U G F 0 a D 4 8 L 0 l 0 Z W 1 M b 2 N h d G l v b j 4 8 U 3 R h Y m x l R W 5 0 c m l l c y A v P j w v S X R l b T 4 8 S X R l b T 4 8 S X R l b U x v Y 2 F 0 a W 9 u P j x J d G V t V H l w Z T 5 G b 3 J t d W x h P C 9 J d G V t V H l w Z T 4 8 S X R l b V B h d G g + U 2 V j d G l v b j E v T U d O U k V H Q S 9 D a G F u Z 2 V k J T I w V H l w Z T U 8 L 0 l 0 Z W 1 Q Y X R o P j w v S X R l b U x v Y 2 F 0 a W 9 u P j x T d G F i b G V F b n R y a W V z I C 8 + P C 9 J d G V t P j x J d G V t P j x J d G V t T G 9 j Y X R p b 2 4 + P E l 0 Z W 1 U e X B l P k Z v c m 1 1 b G E 8 L 0 l 0 Z W 1 U e X B l P j x J d G V t U G F 0 a D 5 T Z W N 0 a W 9 u M S 9 h d m d f d 2 F n Z V 9 w Y W l k J T I w K D I p P C 9 J d G V t U G F 0 a D 4 8 L 0 l 0 Z W 1 M b 2 N h d G l v b j 4 8 U 3 R h Y m x l R W 5 0 c m l l c z 4 8 R W 5 0 c n k g V H l w Z T 0 i S X N Q c m l 2 Y X R l I i B W Y W x 1 Z T 0 i b D A i I C 8 + P E V u d H J 5 I F R 5 c G U 9 I l F 1 Z X J 5 S U Q i I F Z h b H V l P S J z M T B h Z G F l Y W I t M T I x Y S 0 0 Y z U 1 L T g 2 N D E t O W Y w N z E 0 N m F k Z T h 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Y X Z n X 3 d h Z 2 V f c G F p Z C A o M i k v U H J v b W 9 0 Z W Q g S G V h Z G V y c y 5 7 U y B O b y 4 s M H 0 m c X V v d D s s J n F 1 b 3 Q 7 U 2 V j d G l v b j E v Y X Z n X 3 d h Z 2 V f c G F p Z C A o M i k v U H J v b W 9 0 Z W Q g S G V h Z G V y c y 5 7 U 3 R h d G U s M X 0 m c X V v d D s s J n F 1 b 3 Q 7 U 2 V j d G l v b j E v Y X Z n X 3 d h Z 2 V f c G F p Z C A o M i k v U H J v b W 9 0 Z W Q g S G V h Z G V y c y 5 7 T m 9 0 a W Z p Z W Q g V 2 F n Z S B y Y X R l L i w y f S Z x d W 9 0 O y w m c X V v d D t T Z W N 0 a W 9 u M S 9 h d m d f d 2 F n Z V 9 w Y W l k I C g y K S 9 Q c m 9 t b 3 R l Z C B I Z W F k Z X J z L n t B c H J p b C w z f S Z x d W 9 0 O y w m c X V v d D t T Z W N 0 a W 9 u M S 9 h d m d f d 2 F n Z V 9 w Y W l k I C g y K S 9 Q c m 9 t b 3 R l Z C B I Z W F k Z X J z L n t N Y X k s N H 0 m c X V v d D s s J n F 1 b 3 Q 7 U 2 V j d G l v b j E v Y X Z n X 3 d h Z 2 V f c G F p Z C A o M i k v U H J v b W 9 0 Z W Q g S G V h Z G V y c y 5 7 S n V u Z S w 1 f S Z x d W 9 0 O y w m c X V v d D t T Z W N 0 a W 9 u M S 9 h d m d f d 2 F n Z V 9 w Y W l k I C g y K S 9 Q c m 9 t b 3 R l Z C B I Z W F k Z X J z L n t K d W x 5 L D Z 9 J n F 1 b 3 Q 7 L C Z x d W 9 0 O 1 N l Y 3 R p b 2 4 x L 2 F 2 Z 1 9 3 Y W d l X 3 B h a W Q g K D I p L 1 B y b 2 1 v d G V k I E h l Y W R l c n M u e 0 F 1 Z 2 V z d C w 3 f S Z x d W 9 0 O y w m c X V v d D t T Z W N 0 a W 9 u M S 9 h d m d f d 2 F n Z V 9 w Y W l k I C g y K S 9 Q c m 9 t b 3 R l Z C B I Z W F k Z X J z L n t T Z X B 0 Z W 1 i Z X I s O H 0 m c X V v d D s s J n F 1 b 3 Q 7 U 2 V j d G l v b j E v Y X Z n X 3 d h Z 2 V f c G F p Z C A o M i k v U H J v b W 9 0 Z W Q g S G V h Z G V y c y 5 7 T 2 N 0 b 2 J l c i w 5 f S Z x d W 9 0 O y w m c X V v d D t T Z W N 0 a W 9 u M S 9 h d m d f d 2 F n Z V 9 w Y W l k I C g y K S 9 Q c m 9 t b 3 R l Z C B I Z W F k Z X J z L n t O b 3 Z l b W J l c i w x M H 0 m c X V v d D s s J n F 1 b 3 Q 7 U 2 V j d G l v b j E v Y X Z n X 3 d h Z 2 V f c G F p Z C A o M i k v U H J v b W 9 0 Z W Q g S G V h Z G V y c y 5 7 R G V j Z W 1 i Z X I s M T F 9 J n F 1 b 3 Q 7 L C Z x d W 9 0 O 1 N l Y 3 R p b 2 4 x L 2 F 2 Z 1 9 3 Y W d l X 3 B h a W Q g K D I p L 1 B y b 2 1 v d G V k I E h l Y W R l c n M u e 0 p h b n V h c n k s M T J 9 J n F 1 b 3 Q 7 L C Z x d W 9 0 O 1 N l Y 3 R p b 2 4 x L 2 F 2 Z 1 9 3 Y W d l X 3 B h a W Q g K D I p L 1 B y b 2 1 v d G V k I E h l Y W R l c n M u e 0 Z l Y n J 1 Y X J 5 L D E z f S Z x d W 9 0 O y w m c X V v d D t T Z W N 0 a W 9 u M S 9 h d m d f d 2 F n Z V 9 w Y W l k I C g y K S 9 Q c m 9 t b 3 R l Z C B I Z W F k Z X J z L n t N Y X J j a C w x N H 0 m c X V v d D s s J n F 1 b 3 Q 7 U 2 V j d G l v b j E v Y X Z n X 3 d h Z 2 V f c G F p Z C A o M i k v U H J v b W 9 0 Z W Q g S G V h Z G V y c y 5 7 Q X Z l c m F n Z S B X Y W d l I F J h d G U s M T V 9 J n F 1 b 3 Q 7 X S w m c X V v d D t D b 2 x 1 b W 5 D b 3 V u d C Z x d W 9 0 O z o x N i w m c X V v d D t L Z X l D b 2 x 1 b W 5 O Y W 1 l c y Z x d W 9 0 O z p b X S w m c X V v d D t D b 2 x 1 b W 5 J Z G V u d G l 0 a W V z J n F 1 b 3 Q 7 O l s m c X V v d D t T Z W N 0 a W 9 u M S 9 h d m d f d 2 F n Z V 9 w Y W l k I C g y K S 9 Q c m 9 t b 3 R l Z C B I Z W F k Z X J z L n t T I E 5 v L i w w f S Z x d W 9 0 O y w m c X V v d D t T Z W N 0 a W 9 u M S 9 h d m d f d 2 F n Z V 9 w Y W l k I C g y K S 9 Q c m 9 t b 3 R l Z C B I Z W F k Z X J z L n t T d G F 0 Z S w x f S Z x d W 9 0 O y w m c X V v d D t T Z W N 0 a W 9 u M S 9 h d m d f d 2 F n Z V 9 w Y W l k I C g y K S 9 Q c m 9 t b 3 R l Z C B I Z W F k Z X J z L n t O b 3 R p Z m l l Z C B X Y W d l I H J h d G U u L D J 9 J n F 1 b 3 Q 7 L C Z x d W 9 0 O 1 N l Y 3 R p b 2 4 x L 2 F 2 Z 1 9 3 Y W d l X 3 B h a W Q g K D I p L 1 B y b 2 1 v d G V k I E h l Y W R l c n M u e 0 F w c m l s L D N 9 J n F 1 b 3 Q 7 L C Z x d W 9 0 O 1 N l Y 3 R p b 2 4 x L 2 F 2 Z 1 9 3 Y W d l X 3 B h a W Q g K D I p L 1 B y b 2 1 v d G V k I E h l Y W R l c n M u e 0 1 h e S w 0 f S Z x d W 9 0 O y w m c X V v d D t T Z W N 0 a W 9 u M S 9 h d m d f d 2 F n Z V 9 w Y W l k I C g y K S 9 Q c m 9 t b 3 R l Z C B I Z W F k Z X J z L n t K d W 5 l L D V 9 J n F 1 b 3 Q 7 L C Z x d W 9 0 O 1 N l Y 3 R p b 2 4 x L 2 F 2 Z 1 9 3 Y W d l X 3 B h a W Q g K D I p L 1 B y b 2 1 v d G V k I E h l Y W R l c n M u e 0 p 1 b H k s N n 0 m c X V v d D s s J n F 1 b 3 Q 7 U 2 V j d G l v b j E v Y X Z n X 3 d h Z 2 V f c G F p Z C A o M i k v U H J v b W 9 0 Z W Q g S G V h Z G V y c y 5 7 Q X V n Z X N 0 L D d 9 J n F 1 b 3 Q 7 L C Z x d W 9 0 O 1 N l Y 3 R p b 2 4 x L 2 F 2 Z 1 9 3 Y W d l X 3 B h a W Q g K D I p L 1 B y b 2 1 v d G V k I E h l Y W R l c n M u e 1 N l c H R l b W J l c i w 4 f S Z x d W 9 0 O y w m c X V v d D t T Z W N 0 a W 9 u M S 9 h d m d f d 2 F n Z V 9 w Y W l k I C g y K S 9 Q c m 9 t b 3 R l Z C B I Z W F k Z X J z L n t P Y 3 R v Y m V y L D l 9 J n F 1 b 3 Q 7 L C Z x d W 9 0 O 1 N l Y 3 R p b 2 4 x L 2 F 2 Z 1 9 3 Y W d l X 3 B h a W Q g K D I p L 1 B y b 2 1 v d G V k I E h l Y W R l c n M u e 0 5 v d m V t Y m V y L D E w f S Z x d W 9 0 O y w m c X V v d D t T Z W N 0 a W 9 u M S 9 h d m d f d 2 F n Z V 9 w Y W l k I C g y K S 9 Q c m 9 t b 3 R l Z C B I Z W F k Z X J z L n t E Z W N l b W J l c i w x M X 0 m c X V v d D s s J n F 1 b 3 Q 7 U 2 V j d G l v b j E v Y X Z n X 3 d h Z 2 V f c G F p Z C A o M i k v U H J v b W 9 0 Z W Q g S G V h Z G V y c y 5 7 S m F u d W F y e S w x M n 0 m c X V v d D s s J n F 1 b 3 Q 7 U 2 V j d G l v b j E v Y X Z n X 3 d h Z 2 V f c G F p Z C A o M i k v U H J v b W 9 0 Z W Q g S G V h Z G V y c y 5 7 R m V i c n V h c n k s M T N 9 J n F 1 b 3 Q 7 L C Z x d W 9 0 O 1 N l Y 3 R p b 2 4 x L 2 F 2 Z 1 9 3 Y W d l X 3 B h a W Q g K D I p L 1 B y b 2 1 v d G V k I E h l Y W R l c n M u e 0 1 h c m N o L D E 0 f S Z x d W 9 0 O y w m c X V v d D t T Z W N 0 a W 9 u M S 9 h d m d f d 2 F n Z V 9 w Y W l k I C g y K S 9 Q c m 9 t b 3 R l Z C B I Z W F k Z X J z L n t B d m V y Y W d l I F d h Z 2 U g U m F 0 Z S w x N X 0 m c X V v d D t d L C Z x d W 9 0 O 1 J l b G F 0 a W 9 u c 2 h p c E l u Z m 8 m c X V v d D s 6 W 1 1 9 I i A v P j x F b n R y e S B U e X B l P S J G a W x s U 3 R h d H V z I i B W Y W x 1 Z T 0 i c 0 N v b X B s Z X R l 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B d m V y Y W d l I F d h Z 2 U g U m F 0 Z S A y M D I y L T I w M j M m c X V v d D t d I i A v P j x F b n R y e S B U e X B l P S J G a W x s Q 2 9 s d W 1 u V H l w Z X M i I F Z h b H V l P S J z Q U F B Q U F B Q U F B Q U F B Q U F B Q U F B Q U F B Q T 0 9 I i A v P j x F b n R y e S B U e X B l P S J G a W x s T G F z d F V w Z G F 0 Z W Q i I F Z h b H V l P S J k M j A y N S 0 w M y 0 w M l Q x M j o z N D o 0 O S 4 w N T I 0 M j E y W i I g L z 4 8 R W 5 0 c n k g V H l w Z T 0 i R m l s b E V y c m 9 y Q 2 9 1 b n Q i I F Z h b H V l P S J s M C I g L z 4 8 R W 5 0 c n k g V H l w Z T 0 i R m l s b E V y c m 9 y Q 2 9 k Z S I g V m F s d W U 9 I n N V b m t u b 3 d u I i A v P j x F b n R y e S B U e X B l P S J G a W x s Q 2 9 1 b n Q i I F Z h b H V l P S J s M z Q i I C 8 + P E V u d H J 5 I F R 5 c G U 9 I k F k Z G V k V G 9 E Y X R h T W 9 k Z W w i I F Z h b H V l P S J s M S I g L z 4 8 L 1 N 0 Y W J s Z U V u d H J p Z X M + P C 9 J d G V t P j x J d G V t P j x J d G V t T G 9 j Y X R p b 2 4 + P E l 0 Z W 1 U e X B l P k Z v c m 1 1 b G E 8 L 0 l 0 Z W 1 U e X B l P j x J d G V t U G F 0 a D 5 T Z W N 0 a W 9 u M S 9 h d m d f d 2 F n Z V 9 w Y W l k J T I w K D I p L 1 N v d X J j Z T w v S X R l b V B h d G g + P C 9 J d G V t T G 9 j Y X R p b 2 4 + P F N 0 Y W J s Z U V u d H J p Z X M g L z 4 8 L 0 l 0 Z W 0 + P E l 0 Z W 0 + P E l 0 Z W 1 M b 2 N h d G l v b j 4 8 S X R l b V R 5 c G U + R m 9 y b X V s Y T w v S X R l b V R 5 c G U + P E l 0 Z W 1 Q Y X R o P l N l Y 3 R p b 2 4 x L 2 F 2 Z 1 9 3 Y W d l X 3 B h a W Q l M j A o M i k v Y X Z n X 3 d h Z 2 V f c G F p Z C U y M C g y K V 9 T a G V l d D w v S X R l b V B h d G g + P C 9 J d G V t T G 9 j Y X R p b 2 4 + P F N 0 Y W J s Z U V u d H J p Z X M g L z 4 8 L 0 l 0 Z W 0 + P E l 0 Z W 0 + P E l 0 Z W 1 M b 2 N h d G l v b j 4 8 S X R l b V R 5 c G U + R m 9 y b X V s Y T w v S X R l b V R 5 c G U + P E l 0 Z W 1 Q Y X R o P l N l Y 3 R p b 2 4 x L 2 F 2 Z 1 9 3 Y W d l X 3 B h a W Q l M j A o M i k v U H J v b W 9 0 Z W Q l M j B I Z W F k Z X J z P C 9 J d G V t U G F 0 a D 4 8 L 0 l 0 Z W 1 M b 2 N h d G l v b j 4 8 U 3 R h Y m x l R W 5 0 c m l l c y A v P j w v S X R l b T 4 8 S X R l b T 4 8 S X R l b U x v Y 2 F 0 a W 9 u P j x J d G V t V H l w Z T 5 G b 3 J t d W x h P C 9 J d G V t V H l w Z T 4 8 S X R l b V B h d G g + U 2 V j d G l v b j E v Y X Z n X 3 d h Z 2 V f c G F p Z C U y M C g y K S 9 S Z W 5 h b W V k J T I w Q 2 9 s d W 1 u c z w v S X R l b V B h d G g + P C 9 J d G V t T G 9 j Y X R p b 2 4 + P F N 0 Y W J s Z U V u d H J p Z X M g L z 4 8 L 0 l 0 Z W 0 + P E l 0 Z W 0 + P E l 0 Z W 1 M b 2 N h d G l v b j 4 8 S X R l b V R 5 c G U + R m 9 y b X V s Y T w v S X R l b V R 5 c G U + P E l 0 Z W 1 Q Y X R o P l N l Y 3 R p b 2 4 x L 0 F W R V J B R 0 U l M j B X Q U d F J T I w U k F U R T w v S X R l b V B h d G g + P C 9 J d G V t T G 9 j Y X R p b 2 4 + P F N 0 Y W J s Z U V u d H J p Z X M + P E V u d H J 5 I F R 5 c G U 9 I k l z U H J p d m F 0 Z S I g V m F s d W U 9 I m w w I i A v P j x F b n R y e S B U e X B l P S J R d W V y e U l E I i B W Y W x 1 Z T 0 i c z U 2 M T M 0 Z W Y 5 L T h k M 2 M t N D k y Z i 0 5 O D Y 2 L W M 2 M j I x Y W U 5 Z D A 1 N y 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T A y I i A v P j x F b n R y e S B U e X B l P S J G a W x s R X J y b 3 J D b 2 R l I i B W Y W x 1 Z T 0 i c 1 V u a 2 5 v d 2 4 i I C 8 + P E V u d H J 5 I F R 5 c G U 9 I k Z p b G x F c n J v c k N v d W 5 0 I i B W Y W x 1 Z T 0 i b D A i I C 8 + P E V u d H J 5 I F R 5 c G U 9 I k Z p b G x M Y X N 0 V X B k Y X R l Z C I g V m F s d W U 9 I m Q y M D I 1 L T A z L T A y V D E 1 O j U 4 O j I 5 L j I 2 M T Q w N T B a I i A v P j x F b n R y e S B U e X B l P S J G a W x s Q 2 9 s d W 1 u V H l w Z X M i I F Z h b H V l P S J z Q l F B R k J R V U Z C U V V G Q l F V R k J R V U Z B Q V V F 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G a W 5 h b m N p Y W w g W W V h c i Z x d W 9 0 O y w m c X V v d D t W Y W x 1 Z S Z x d W 9 0 O y w m c X V v d D t J b m Z s Y X R p b 2 4 u V m F s d 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Q V Z F U k F H R S B X Q U d F I F J B V E U v V W 5 w a X Z v d G V k I E N v b H V t b n M u e 1 M g T m 8 u L D B 9 J n F 1 b 3 Q 7 L C Z x d W 9 0 O 1 N l Y 3 R p b 2 4 x L 0 F W R V J B R 0 U g V 0 F H R S B S Q V R F L 1 V u c G l 2 b 3 R l Z C B D b 2 x 1 b W 5 z L n t T d G F 0 Z S w x f S Z x d W 9 0 O y w m c X V v d D t T Z W N 0 a W 9 u M S 9 B V k V S Q U d F I F d B R 0 U g U k F U R S 9 V b n B p d m 9 0 Z W Q g Q 2 9 s d W 1 u c y 5 7 T m 9 0 a W Z p Z W Q g V 2 F n Z S B y Y X R l L i w y f S Z x d W 9 0 O y w m c X V v d D t T Z W N 0 a W 9 u M S 9 B V k V S Q U d F I F d B R 0 U g U k F U R S 9 V b n B p d m 9 0 Z W Q g Q 2 9 s d W 1 u c y 5 7 Q X B y a W w s M 3 0 m c X V v d D s s J n F 1 b 3 Q 7 U 2 V j d G l v b j E v Q V Z F U k F H R S B X Q U d F I F J B V E U v V W 5 w a X Z v d G V k I E N v b H V t b n M u e 0 1 h e S w 0 f S Z x d W 9 0 O y w m c X V v d D t T Z W N 0 a W 9 u M S 9 B V k V S Q U d F I F d B R 0 U g U k F U R S 9 V b n B p d m 9 0 Z W Q g Q 2 9 s d W 1 u c y 5 7 S n V u Z S w 1 f S Z x d W 9 0 O y w m c X V v d D t T Z W N 0 a W 9 u M S 9 B V k V S Q U d F I F d B R 0 U g U k F U R S 9 V b n B p d m 9 0 Z W Q g Q 2 9 s d W 1 u c y 5 7 S n V s e S w 2 f S Z x d W 9 0 O y w m c X V v d D t T Z W N 0 a W 9 u M S 9 B V k V S Q U d F I F d B R 0 U g U k F U R S 9 V b n B p d m 9 0 Z W Q g Q 2 9 s d W 1 u c y 5 7 Q X V n Z X N 0 L D d 9 J n F 1 b 3 Q 7 L C Z x d W 9 0 O 1 N l Y 3 R p b 2 4 x L 0 F W R V J B R 0 U g V 0 F H R S B S Q V R F L 1 V u c G l 2 b 3 R l Z C B D b 2 x 1 b W 5 z L n t T Z X B 0 Z W 1 i Z X I s O H 0 m c X V v d D s s J n F 1 b 3 Q 7 U 2 V j d G l v b j E v Q V Z F U k F H R S B X Q U d F I F J B V E U v V W 5 w a X Z v d G V k I E N v b H V t b n M u e 0 9 j d G 9 i Z X I s O X 0 m c X V v d D s s J n F 1 b 3 Q 7 U 2 V j d G l v b j E v Q V Z F U k F H R S B X Q U d F I F J B V E U v V W 5 w a X Z v d G V k I E N v b H V t b n M u e 0 5 v d m V t Y m V y L D E w f S Z x d W 9 0 O y w m c X V v d D t T Z W N 0 a W 9 u M S 9 B V k V S Q U d F I F d B R 0 U g U k F U R S 9 V b n B p d m 9 0 Z W Q g Q 2 9 s d W 1 u c y 5 7 R G V j Z W 1 i Z X I s M T F 9 J n F 1 b 3 Q 7 L C Z x d W 9 0 O 1 N l Y 3 R p b 2 4 x L 0 F W R V J B R 0 U g V 0 F H R S B S Q V R F L 1 V u c G l 2 b 3 R l Z C B D b 2 x 1 b W 5 z L n t K Y W 5 1 Y X J 5 L D E y f S Z x d W 9 0 O y w m c X V v d D t T Z W N 0 a W 9 u M S 9 B V k V S Q U d F I F d B R 0 U g U k F U R S 9 V b n B p d m 9 0 Z W Q g Q 2 9 s d W 1 u c y 5 7 R m V i c n V h c n k s M T N 9 J n F 1 b 3 Q 7 L C Z x d W 9 0 O 1 N l Y 3 R p b 2 4 x L 0 F W R V J B R 0 U g V 0 F H R S B S Q V R F L 1 V u c G l 2 b 3 R l Z C B D b 2 x 1 b W 5 z L n t N Y X J j a C w x N H 0 m c X V v d D s s J n F 1 b 3 Q 7 U 2 V j d G l v b j E v Q V Z F U k F H R S B X Q U d F I F J B V E U v Q W R k Z W Q g Q 3 V z d G 9 t L n t G W S w x N 3 0 m c X V v d D s s J n F 1 b 3 Q 7 U 2 V j d G l v b j E v Q V Z F U k F H R S B X Q U d F I F J B V E U v V W 5 w a X Z v d G V k I E N v b H V t b n M u e 1 Z h b H V l L D E 2 f S Z x d W 9 0 O y w m c X V v d D t T Z W N 0 a W 9 u M S 9 J b m Z s Y X R p b 2 4 v V W 5 w a X Z v d G V k I E N v b H V t b n M u e 1 Z h b H V l L D J 9 J n F 1 b 3 Q 7 X S w m c X V v d D t D b 2 x 1 b W 5 D b 3 V u d C Z x d W 9 0 O z o x O C w m c X V v d D t L Z X l D b 2 x 1 b W 5 O Y W 1 l c y Z x d W 9 0 O z p b X S w m c X V v d D t D b 2 x 1 b W 5 J Z G V u d G l 0 a W V z J n F 1 b 3 Q 7 O l s m c X V v d D t T Z W N 0 a W 9 u M S 9 B V k V S Q U d F I F d B R 0 U g U k F U R S 9 V b n B p d m 9 0 Z W Q g Q 2 9 s d W 1 u c y 5 7 U y B O b y 4 s M H 0 m c X V v d D s s J n F 1 b 3 Q 7 U 2 V j d G l v b j E v Q V Z F U k F H R S B X Q U d F I F J B V E U v V W 5 w a X Z v d G V k I E N v b H V t b n M u e 1 N 0 Y X R l L D F 9 J n F 1 b 3 Q 7 L C Z x d W 9 0 O 1 N l Y 3 R p b 2 4 x L 0 F W R V J B R 0 U g V 0 F H R S B S Q V R F L 1 V u c G l 2 b 3 R l Z C B D b 2 x 1 b W 5 z L n t O b 3 R p Z m l l Z C B X Y W d l I H J h d G U u L D J 9 J n F 1 b 3 Q 7 L C Z x d W 9 0 O 1 N l Y 3 R p b 2 4 x L 0 F W R V J B R 0 U g V 0 F H R S B S Q V R F L 1 V u c G l 2 b 3 R l Z C B D b 2 x 1 b W 5 z L n t B c H J p b C w z f S Z x d W 9 0 O y w m c X V v d D t T Z W N 0 a W 9 u M S 9 B V k V S Q U d F I F d B R 0 U g U k F U R S 9 V b n B p d m 9 0 Z W Q g Q 2 9 s d W 1 u c y 5 7 T W F 5 L D R 9 J n F 1 b 3 Q 7 L C Z x d W 9 0 O 1 N l Y 3 R p b 2 4 x L 0 F W R V J B R 0 U g V 0 F H R S B S Q V R F L 1 V u c G l 2 b 3 R l Z C B D b 2 x 1 b W 5 z L n t K d W 5 l L D V 9 J n F 1 b 3 Q 7 L C Z x d W 9 0 O 1 N l Y 3 R p b 2 4 x L 0 F W R V J B R 0 U g V 0 F H R S B S Q V R F L 1 V u c G l 2 b 3 R l Z C B D b 2 x 1 b W 5 z L n t K d W x 5 L D Z 9 J n F 1 b 3 Q 7 L C Z x d W 9 0 O 1 N l Y 3 R p b 2 4 x L 0 F W R V J B R 0 U g V 0 F H R S B S Q V R F L 1 V u c G l 2 b 3 R l Z C B D b 2 x 1 b W 5 z L n t B d W d l c 3 Q s N 3 0 m c X V v d D s s J n F 1 b 3 Q 7 U 2 V j d G l v b j E v Q V Z F U k F H R S B X Q U d F I F J B V E U v V W 5 w a X Z v d G V k I E N v b H V t b n M u e 1 N l c H R l b W J l c i w 4 f S Z x d W 9 0 O y w m c X V v d D t T Z W N 0 a W 9 u M S 9 B V k V S Q U d F I F d B R 0 U g U k F U R S 9 V b n B p d m 9 0 Z W Q g Q 2 9 s d W 1 u c y 5 7 T 2 N 0 b 2 J l c i w 5 f S Z x d W 9 0 O y w m c X V v d D t T Z W N 0 a W 9 u M S 9 B V k V S Q U d F I F d B R 0 U g U k F U R S 9 V b n B p d m 9 0 Z W Q g Q 2 9 s d W 1 u c y 5 7 T m 9 2 Z W 1 i Z X I s M T B 9 J n F 1 b 3 Q 7 L C Z x d W 9 0 O 1 N l Y 3 R p b 2 4 x L 0 F W R V J B R 0 U g V 0 F H R S B S Q V R F L 1 V u c G l 2 b 3 R l Z C B D b 2 x 1 b W 5 z L n t E Z W N l b W J l c i w x M X 0 m c X V v d D s s J n F 1 b 3 Q 7 U 2 V j d G l v b j E v Q V Z F U k F H R S B X Q U d F I F J B V E U v V W 5 w a X Z v d G V k I E N v b H V t b n M u e 0 p h b n V h c n k s M T J 9 J n F 1 b 3 Q 7 L C Z x d W 9 0 O 1 N l Y 3 R p b 2 4 x L 0 F W R V J B R 0 U g V 0 F H R S B S Q V R F L 1 V u c G l 2 b 3 R l Z C B D b 2 x 1 b W 5 z L n t G Z W J y d W F y e S w x M 3 0 m c X V v d D s s J n F 1 b 3 Q 7 U 2 V j d G l v b j E v Q V Z F U k F H R S B X Q U d F I F J B V E U v V W 5 w a X Z v d G V k I E N v b H V t b n M u e 0 1 h c m N o L D E 0 f S Z x d W 9 0 O y w m c X V v d D t T Z W N 0 a W 9 u M S 9 B V k V S Q U d F I F d B R 0 U g U k F U R S 9 B Z G R l Z C B D d X N 0 b 2 0 u e 0 Z Z L D E 3 f S Z x d W 9 0 O y w m c X V v d D t T Z W N 0 a W 9 u M S 9 B V k V S Q U d F I F d B R 0 U g U k F U R S 9 V b n B p d m 9 0 Z W Q g Q 2 9 s d W 1 u c y 5 7 V m F s d W U s M T Z 9 J n F 1 b 3 Q 7 L C Z x d W 9 0 O 1 N l Y 3 R p b 2 4 x L 0 l u Z m x h d G l v b i 9 V b n B p d m 9 0 Z W Q g Q 2 9 s d W 1 u c y 5 7 V m F s d W U s M n 0 m c X V v d D t d L C Z x d W 9 0 O 1 J l b G F 0 a W 9 u c 2 h p c E l u Z m 8 m c X V v d D s 6 W 1 1 9 I i A v P j x F b n R y e S B U e X B l P S J S Z W N v d m V y e V R h c m d l d F N o Z W V 0 I i B W Y W x 1 Z T 0 i c 1 d h Z 2 U g U m F 0 Z S I g L z 4 8 R W 5 0 c n k g V H l w Z T 0 i U m V j b 3 Z l c n l U Y X J n Z X R D b 2 x 1 b W 4 i I F Z h b H V l P S J s M S I g L z 4 8 R W 5 0 c n k g V H l w Z T 0 i U m V j b 3 Z l c n l U Y X J n Z X R S b 3 c i I F Z h b H V l P S J s M S I g L z 4 8 L 1 N 0 Y W J s Z U V u d H J p Z X M + P C 9 J d G V t P j x J d G V t P j x J d G V t T G 9 j Y X R p b 2 4 + P E l 0 Z W 1 U e X B l P k Z v c m 1 1 b G E 8 L 0 l 0 Z W 1 U e X B l P j x J d G V t U G F 0 a D 5 T Z W N 0 a W 9 u M S 9 B V k V S Q U d F J T I w V 0 F H R S U y M F J B V E U v U 2 9 1 c m N l P C 9 J d G V t U G F 0 a D 4 8 L 0 l 0 Z W 1 M b 2 N h d G l v b j 4 8 U 3 R h Y m x l R W 5 0 c m l l c y A v P j w v S X R l b T 4 8 S X R l b T 4 8 S X R l b U x v Y 2 F 0 a W 9 u P j x J d G V t V H l w Z T 5 G b 3 J t d W x h P C 9 J d G V t V H l w Z T 4 8 S X R l b V B h d G g + U 2 V j d G l v b j E v Q V Z F U k F H R S U y M F d B R 0 U l M j B S Q V R F L 2 F 2 Z 1 9 3 Y W d l X 3 B h a W Q l M j A o M S l f U 2 h l Z X Q 8 L 0 l 0 Z W 1 Q Y X R o P j w v S X R l b U x v Y 2 F 0 a W 9 u P j x T d G F i b G V F b n R y a W V z I C 8 + P C 9 J d G V t P j x J d G V t P j x J d G V t T G 9 j Y X R p b 2 4 + P E l 0 Z W 1 U e X B l P k Z v c m 1 1 b G E 8 L 0 l 0 Z W 1 U e X B l P j x J d G V t U G F 0 a D 5 T Z W N 0 a W 9 u M S 9 B V k V S Q U d F J T I w V 0 F H R S U y M F J B V E U v U H J v b W 9 0 Z W Q l M j B I Z W F k Z X J z P C 9 J d G V t U G F 0 a D 4 8 L 0 l 0 Z W 1 M b 2 N h d G l v b j 4 8 U 3 R h Y m x l R W 5 0 c m l l c y A v P j w v S X R l b T 4 8 S X R l b T 4 8 S X R l b U x v Y 2 F 0 a W 9 u P j x J d G V t V H l w Z T 5 G b 3 J t d W x h P C 9 J d G V t V H l w Z T 4 8 S X R l b V B h d G g + U 2 V j d G l v b j E v Q V Z F U k F H R S U y M F d B R 0 U l M j B S Q V R F L 1 J l b W 9 2 Z W Q l M j B C b 3 R 0 b 2 0 l M j B S b 3 d z P C 9 J d G V t U G F 0 a D 4 8 L 0 l 0 Z W 1 M b 2 N h d G l v b j 4 8 U 3 R h Y m x l R W 5 0 c m l l c y A v P j w v S X R l b T 4 8 S X R l b T 4 8 S X R l b U x v Y 2 F 0 a W 9 u P j x J d G V t V H l w Z T 5 G b 3 J t d W x h P C 9 J d G V t V H l w Z T 4 8 S X R l b V B h d G g + U 2 V j d G l v b j E v Q V Z F U k F H R S U y M F d B R 0 U l M j B S Q V R F L 0 N o Y W 5 n Z W Q l M j B U e X B l P C 9 J d G V t U G F 0 a D 4 8 L 0 l 0 Z W 1 M b 2 N h d G l v b j 4 8 U 3 R h Y m x l R W 5 0 c m l l c y A v P j w v S X R l b T 4 8 S X R l b T 4 8 S X R l b U x v Y 2 F 0 a W 9 u P j x J d G V t V H l w Z T 5 G b 3 J t d W x h P C 9 J d G V t V H l w Z T 4 8 S X R l b V B h d G g + U 2 V j d G l v b j E v Q V Z F U k F H R S U y M F d B R 0 U l M j B S Q V R F L 1 J l b m F t Z W Q l M j B D b 2 x 1 b W 5 z P C 9 J d G V t U G F 0 a D 4 8 L 0 l 0 Z W 1 M b 2 N h d G l v b j 4 8 U 3 R h Y m x l R W 5 0 c m l l c y A v P j w v S X R l b T 4 8 S X R l b T 4 8 S X R l b U x v Y 2 F 0 a W 9 u P j x J d G V t V H l w Z T 5 G b 3 J t d W x h P C 9 J d G V t V H l w Z T 4 8 S X R l b V B h d G g + U 2 V j d G l v b j E v Q V Z F U k F H R S U y M F d B R 0 U l M j B S Q V R F L 0 1 l c m d l Z C U y M F F 1 Z X J p Z X M 8 L 0 l 0 Z W 1 Q Y X R o P j w v S X R l b U x v Y 2 F 0 a W 9 u P j x T d G F i b G V F b n R y a W V z I C 8 + P C 9 J d G V t P j x J d G V t P j x J d G V t T G 9 j Y X R p b 2 4 + P E l 0 Z W 1 U e X B l P k Z v c m 1 1 b G E 8 L 0 l 0 Z W 1 U e X B l P j x J d G V t U G F 0 a D 5 T Z W N 0 a W 9 u M S 9 B V k V S Q U d F J T I w V 0 F H R S U y M F J B V E U v R X h w Y W 5 k Z W Q l M j B h d m d f d 2 F n Z V 9 w Y W l k J T I w K D I p P C 9 J d G V t U G F 0 a D 4 8 L 0 l 0 Z W 1 M b 2 N h d G l v b j 4 8 U 3 R h Y m x l R W 5 0 c m l l c y A v P j w v S X R l b T 4 8 S X R l b T 4 8 S X R l b U x v Y 2 F 0 a W 9 u P j x J d G V t V H l w Z T 5 G b 3 J t d W x h P C 9 J d G V t V H l w Z T 4 8 S X R l b V B h d G g + U 2 V j d G l v b j E v Q V Z F U k F H R S U y M F d B R 0 U l M j B S Q V R F L 0 N o Y W 5 n Z W Q l M j B U e X B l M T w v S X R l b V B h d G g + P C 9 J d G V t T G 9 j Y X R p b 2 4 + P F N 0 Y W J s Z U V u d H J p Z X M g L z 4 8 L 0 l 0 Z W 0 + P E l 0 Z W 0 + P E l 0 Z W 1 M b 2 N h d G l v b j 4 8 S X R l b V R 5 c G U + R m 9 y b X V s Y T w v S X R l b V R 5 c G U + P E l 0 Z W 1 Q Y X R o P l N l Y 3 R p b 2 4 x L 2 F 2 Z 1 9 3 Y W d l X 3 B h a W Q l M j A o M y k 8 L 0 l 0 Z W 1 Q Y X R o P j w v S X R l b U x v Y 2 F 0 a W 9 u P j x T d G F i b G V F b n R y a W V z P j x F b n R y e S B U e X B l P S J J c 1 B y a X Z h d G U i I F Z h b H V l P S J s M C I g L z 4 8 R W 5 0 c n k g V H l w Z T 0 i U X V l c n l J R C I g V m F s d W U 9 I n M 4 Z G V j O T J j M i 1 j N 2 F k L T Q w Z W M t O D R i N S 1 i N T l k M j B j O G E z N T 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z L T A y V D E y O j Q z O j A y L j k x N D I 5 M T h a I i A v P j x F b n R y e S B U e X B l P S J G a W x s Q 2 9 s d W 1 u V H l w Z X M i I F Z h b H V l P S J z Q U F B Q U F B Q U F B Q U F B Q U F B Q U F B Q U F B Q T 0 9 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B d m V y Y W d l I F d h Z 2 U g U m F 0 Z S A y M D I x L T I w M j 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X Z n X 3 d h Z 2 V f c G F p Z C A o M y k v U H J v b W 9 0 Z W Q g S G V h Z G V y c y 5 7 U y B O b y 4 s M H 0 m c X V v d D s s J n F 1 b 3 Q 7 U 2 V j d G l v b j E v Y X Z n X 3 d h Z 2 V f c G F p Z C A o M y k v U H J v b W 9 0 Z W Q g S G V h Z G V y c y 5 7 U 3 R h d G U s M X 0 m c X V v d D s s J n F 1 b 3 Q 7 U 2 V j d G l v b j E v Y X Z n X 3 d h Z 2 V f c G F p Z C A o M y k v U H J v b W 9 0 Z W Q g S G V h Z G V y c y 5 7 T m 9 0 a W Z p Z W Q g V 2 F n Z S B y Y X R l L i w y f S Z x d W 9 0 O y w m c X V v d D t T Z W N 0 a W 9 u M S 9 h d m d f d 2 F n Z V 9 w Y W l k I C g z K S 9 Q c m 9 t b 3 R l Z C B I Z W F k Z X J z L n t B c H J p b C w z f S Z x d W 9 0 O y w m c X V v d D t T Z W N 0 a W 9 u M S 9 h d m d f d 2 F n Z V 9 w Y W l k I C g z K S 9 Q c m 9 t b 3 R l Z C B I Z W F k Z X J z L n t N Y X k s N H 0 m c X V v d D s s J n F 1 b 3 Q 7 U 2 V j d G l v b j E v Y X Z n X 3 d h Z 2 V f c G F p Z C A o M y k v U H J v b W 9 0 Z W Q g S G V h Z G V y c y 5 7 S n V u Z S w 1 f S Z x d W 9 0 O y w m c X V v d D t T Z W N 0 a W 9 u M S 9 h d m d f d 2 F n Z V 9 w Y W l k I C g z K S 9 Q c m 9 t b 3 R l Z C B I Z W F k Z X J z L n t K d W x 5 L D Z 9 J n F 1 b 3 Q 7 L C Z x d W 9 0 O 1 N l Y 3 R p b 2 4 x L 2 F 2 Z 1 9 3 Y W d l X 3 B h a W Q g K D M p L 1 B y b 2 1 v d G V k I E h l Y W R l c n M u e 0 F 1 Z 2 V z d C w 3 f S Z x d W 9 0 O y w m c X V v d D t T Z W N 0 a W 9 u M S 9 h d m d f d 2 F n Z V 9 w Y W l k I C g z K S 9 Q c m 9 t b 3 R l Z C B I Z W F k Z X J z L n t T Z X B 0 Z W 1 i Z X I s O H 0 m c X V v d D s s J n F 1 b 3 Q 7 U 2 V j d G l v b j E v Y X Z n X 3 d h Z 2 V f c G F p Z C A o M y k v U H J v b W 9 0 Z W Q g S G V h Z G V y c y 5 7 T 2 N 0 b 2 J l c i w 5 f S Z x d W 9 0 O y w m c X V v d D t T Z W N 0 a W 9 u M S 9 h d m d f d 2 F n Z V 9 w Y W l k I C g z K S 9 Q c m 9 t b 3 R l Z C B I Z W F k Z X J z L n t O b 3 Z l b W J l c i w x M H 0 m c X V v d D s s J n F 1 b 3 Q 7 U 2 V j d G l v b j E v Y X Z n X 3 d h Z 2 V f c G F p Z C A o M y k v U H J v b W 9 0 Z W Q g S G V h Z G V y c y 5 7 R G V j Z W 1 i Z X I s M T F 9 J n F 1 b 3 Q 7 L C Z x d W 9 0 O 1 N l Y 3 R p b 2 4 x L 2 F 2 Z 1 9 3 Y W d l X 3 B h a W Q g K D M p L 1 B y b 2 1 v d G V k I E h l Y W R l c n M u e 0 p h b n V h c n k s M T J 9 J n F 1 b 3 Q 7 L C Z x d W 9 0 O 1 N l Y 3 R p b 2 4 x L 2 F 2 Z 1 9 3 Y W d l X 3 B h a W Q g K D M p L 1 B y b 2 1 v d G V k I E h l Y W R l c n M u e 0 Z l Y n J 1 Y X J 5 L D E z f S Z x d W 9 0 O y w m c X V v d D t T Z W N 0 a W 9 u M S 9 h d m d f d 2 F n Z V 9 w Y W l k I C g z K S 9 Q c m 9 t b 3 R l Z C B I Z W F k Z X J z L n t N Y X J j a C w x N H 0 m c X V v d D s s J n F 1 b 3 Q 7 U 2 V j d G l v b j E v Y X Z n X 3 d h Z 2 V f c G F p Z C A o M y k v U H J v b W 9 0 Z W Q g S G V h Z G V y c y 5 7 Q X Z l c m F n Z S B X Y W d l I F J h d G U g M j A y M S 0 y M D I y L D E 1 f S Z x d W 9 0 O 1 0 s J n F 1 b 3 Q 7 Q 2 9 s d W 1 u Q 2 9 1 b n Q m c X V v d D s 6 M T Y s J n F 1 b 3 Q 7 S 2 V 5 Q 2 9 s d W 1 u T m F t Z X M m c X V v d D s 6 W 1 0 s J n F 1 b 3 Q 7 Q 2 9 s d W 1 u S W R l b n R p d G l l c y Z x d W 9 0 O z p b J n F 1 b 3 Q 7 U 2 V j d G l v b j E v Y X Z n X 3 d h Z 2 V f c G F p Z C A o M y k v U H J v b W 9 0 Z W Q g S G V h Z G V y c y 5 7 U y B O b y 4 s M H 0 m c X V v d D s s J n F 1 b 3 Q 7 U 2 V j d G l v b j E v Y X Z n X 3 d h Z 2 V f c G F p Z C A o M y k v U H J v b W 9 0 Z W Q g S G V h Z G V y c y 5 7 U 3 R h d G U s M X 0 m c X V v d D s s J n F 1 b 3 Q 7 U 2 V j d G l v b j E v Y X Z n X 3 d h Z 2 V f c G F p Z C A o M y k v U H J v b W 9 0 Z W Q g S G V h Z G V y c y 5 7 T m 9 0 a W Z p Z W Q g V 2 F n Z S B y Y X R l L i w y f S Z x d W 9 0 O y w m c X V v d D t T Z W N 0 a W 9 u M S 9 h d m d f d 2 F n Z V 9 w Y W l k I C g z K S 9 Q c m 9 t b 3 R l Z C B I Z W F k Z X J z L n t B c H J p b C w z f S Z x d W 9 0 O y w m c X V v d D t T Z W N 0 a W 9 u M S 9 h d m d f d 2 F n Z V 9 w Y W l k I C g z K S 9 Q c m 9 t b 3 R l Z C B I Z W F k Z X J z L n t N Y X k s N H 0 m c X V v d D s s J n F 1 b 3 Q 7 U 2 V j d G l v b j E v Y X Z n X 3 d h Z 2 V f c G F p Z C A o M y k v U H J v b W 9 0 Z W Q g S G V h Z G V y c y 5 7 S n V u Z S w 1 f S Z x d W 9 0 O y w m c X V v d D t T Z W N 0 a W 9 u M S 9 h d m d f d 2 F n Z V 9 w Y W l k I C g z K S 9 Q c m 9 t b 3 R l Z C B I Z W F k Z X J z L n t K d W x 5 L D Z 9 J n F 1 b 3 Q 7 L C Z x d W 9 0 O 1 N l Y 3 R p b 2 4 x L 2 F 2 Z 1 9 3 Y W d l X 3 B h a W Q g K D M p L 1 B y b 2 1 v d G V k I E h l Y W R l c n M u e 0 F 1 Z 2 V z d C w 3 f S Z x d W 9 0 O y w m c X V v d D t T Z W N 0 a W 9 u M S 9 h d m d f d 2 F n Z V 9 w Y W l k I C g z K S 9 Q c m 9 t b 3 R l Z C B I Z W F k Z X J z L n t T Z X B 0 Z W 1 i Z X I s O H 0 m c X V v d D s s J n F 1 b 3 Q 7 U 2 V j d G l v b j E v Y X Z n X 3 d h Z 2 V f c G F p Z C A o M y k v U H J v b W 9 0 Z W Q g S G V h Z G V y c y 5 7 T 2 N 0 b 2 J l c i w 5 f S Z x d W 9 0 O y w m c X V v d D t T Z W N 0 a W 9 u M S 9 h d m d f d 2 F n Z V 9 w Y W l k I C g z K S 9 Q c m 9 t b 3 R l Z C B I Z W F k Z X J z L n t O b 3 Z l b W J l c i w x M H 0 m c X V v d D s s J n F 1 b 3 Q 7 U 2 V j d G l v b j E v Y X Z n X 3 d h Z 2 V f c G F p Z C A o M y k v U H J v b W 9 0 Z W Q g S G V h Z G V y c y 5 7 R G V j Z W 1 i Z X I s M T F 9 J n F 1 b 3 Q 7 L C Z x d W 9 0 O 1 N l Y 3 R p b 2 4 x L 2 F 2 Z 1 9 3 Y W d l X 3 B h a W Q g K D M p L 1 B y b 2 1 v d G V k I E h l Y W R l c n M u e 0 p h b n V h c n k s M T J 9 J n F 1 b 3 Q 7 L C Z x d W 9 0 O 1 N l Y 3 R p b 2 4 x L 2 F 2 Z 1 9 3 Y W d l X 3 B h a W Q g K D M p L 1 B y b 2 1 v d G V k I E h l Y W R l c n M u e 0 Z l Y n J 1 Y X J 5 L D E z f S Z x d W 9 0 O y w m c X V v d D t T Z W N 0 a W 9 u M S 9 h d m d f d 2 F n Z V 9 w Y W l k I C g z K S 9 Q c m 9 t b 3 R l Z C B I Z W F k Z X J z L n t N Y X J j a C w x N H 0 m c X V v d D s s J n F 1 b 3 Q 7 U 2 V j d G l v b j E v Y X Z n X 3 d h Z 2 V f c G F p Z C A o M y k v U H J v b W 9 0 Z W Q g S G V h Z G V y c y 5 7 Q X Z l c m F n Z S B X Y W d l I F J h d G U g M j A y M S 0 y M D I y L D E 1 f S Z x d W 9 0 O 1 0 s J n F 1 b 3 Q 7 U m V s Y X R p b 2 5 z a G l w S W 5 m b y Z x d W 9 0 O z p b X X 0 i I C 8 + P C 9 T d G F i b G V F b n R y a W V z P j w v S X R l b T 4 8 S X R l b T 4 8 S X R l b U x v Y 2 F 0 a W 9 u P j x J d G V t V H l w Z T 5 G b 3 J t d W x h P C 9 J d G V t V H l w Z T 4 8 S X R l b V B h d G g + U 2 V j d G l v b j E v Y X Z n X 3 d h Z 2 V f c G F p Z C U y M C g z K S 9 T b 3 V y Y 2 U 8 L 0 l 0 Z W 1 Q Y X R o P j w v S X R l b U x v Y 2 F 0 a W 9 u P j x T d G F i b G V F b n R y a W V z I C 8 + P C 9 J d G V t P j x J d G V t P j x J d G V t T G 9 j Y X R p b 2 4 + P E l 0 Z W 1 U e X B l P k Z v c m 1 1 b G E 8 L 0 l 0 Z W 1 U e X B l P j x J d G V t U G F 0 a D 5 T Z W N 0 a W 9 u M S 9 h d m d f d 2 F n Z V 9 w Y W l k J T I w K D M p L 2 F 2 Z 1 9 3 Y W d l X 3 B h a W Q l M j A o M y l f U 2 h l Z X Q 8 L 0 l 0 Z W 1 Q Y X R o P j w v S X R l b U x v Y 2 F 0 a W 9 u P j x T d G F i b G V F b n R y a W V z I C 8 + P C 9 J d G V t P j x J d G V t P j x J d G V t T G 9 j Y X R p b 2 4 + P E l 0 Z W 1 U e X B l P k Z v c m 1 1 b G E 8 L 0 l 0 Z W 1 U e X B l P j x J d G V t U G F 0 a D 5 T Z W N 0 a W 9 u M S 9 h d m d f d 2 F n Z V 9 w Y W l k J T I w K D M p L 1 B y b 2 1 v d G V k J T I w S G V h Z G V y c z w v S X R l b V B h d G g + P C 9 J d G V t T G 9 j Y X R p b 2 4 + P F N 0 Y W J s Z U V u d H J p Z X M g L z 4 8 L 0 l 0 Z W 0 + P E l 0 Z W 0 + P E l 0 Z W 1 M b 2 N h d G l v b j 4 8 S X R l b V R 5 c G U + R m 9 y b X V s Y T w v S X R l b V R 5 c G U + P E l 0 Z W 1 Q Y X R o P l N l Y 3 R p b 2 4 x L 0 F W R V J B R 0 U l M j B X Q U d F J T I w U k F U R S 9 N Z X J n Z W Q l M j B R d W V y a W V z M T w v S X R l b V B h d G g + P C 9 J d G V t T G 9 j Y X R p b 2 4 + P F N 0 Y W J s Z U V u d H J p Z X M g L z 4 8 L 0 l 0 Z W 0 + P E l 0 Z W 0 + P E l 0 Z W 1 M b 2 N h d G l v b j 4 8 S X R l b V R 5 c G U + R m 9 y b X V s Y T w v S X R l b V R 5 c G U + P E l 0 Z W 1 Q Y X R o P l N l Y 3 R p b 2 4 x L 0 F W R V J B R 0 U l M j B X Q U d F J T I w U k F U R S 9 F e H B h b m R l Z C U y M G F 2 Z 1 9 3 Y W d l X 3 B h a W Q l M j A o M y k 8 L 0 l 0 Z W 1 Q Y X R o P j w v S X R l b U x v Y 2 F 0 a W 9 u P j x T d G F i b G V F b n R y a W V z I C 8 + P C 9 J d G V t P j x J d G V t P j x J d G V t T G 9 j Y X R p b 2 4 + P E l 0 Z W 1 U e X B l P k Z v c m 1 1 b G E 8 L 0 l 0 Z W 1 U e X B l P j x J d G V t U G F 0 a D 5 T Z W N 0 a W 9 u M S 9 B V k V S Q U d F J T I w V 0 F H R S U y M F J B V E U v Q 2 h h b m d l Z C U y M F R 5 c G U y P C 9 J d G V t U G F 0 a D 4 8 L 0 l 0 Z W 1 M b 2 N h d G l v b j 4 8 U 3 R h Y m x l R W 5 0 c m l l c y A v P j w v S X R l b T 4 8 S X R l b T 4 8 S X R l b U x v Y 2 F 0 a W 9 u P j x J d G V t V H l w Z T 5 G b 3 J t d W x h P C 9 J d G V t V H l w Z T 4 8 S X R l b V B h d G g + U 2 V j d G l v b j E v Q V Z F U k F H R S U y M F d B R 0 U l M j B S Q V R F L 1 J l b m F t Z W Q l M j B D b 2 x 1 b W 5 z M T w v S X R l b V B h d G g + P C 9 J d G V t T G 9 j Y X R p b 2 4 + P F N 0 Y W J s Z U V u d H J p Z X M g L z 4 8 L 0 l 0 Z W 0 + P E l 0 Z W 0 + P E l 0 Z W 1 M b 2 N h d G l v b j 4 8 S X R l b V R 5 c G U + R m 9 y b X V s Y T w v S X R l b V R 5 c G U + P E l 0 Z W 1 Q Y X R o P l N l Y 3 R p b 2 4 x L 0 l u Z m x h d G l v b j w v S X R l b V B h d G g + P C 9 J d G V t T G 9 j Y X R p b 2 4 + P F N 0 Y W J s Z U V u d H J p Z X M + P E V u d H J 5 I F R 5 c G U 9 I k l z U H J p d m F 0 Z S I g V m F s d W U 9 I m w w I i A v P j x F b n R y e S B U e X B l P S J R d W V y e U l E I i B W Y W x 1 Z T 0 i c 2 U y M 2 U 3 Z m M 5 L W E 4 Y j U t N D V m Y i 1 h Y 2 N j L T U x Y z d l Z W R h M T N l Z 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S W 5 m b G F 0 a W 9 u L 1 V u c G l 2 b 3 R l Z C B D b 2 x 1 b W 5 z L n t T d G F 0 Z S w w f S Z x d W 9 0 O y w m c X V v d D t T Z W N 0 a W 9 u M S 9 J b m Z s Y X R p b 2 4 v V W 5 w a X Z v d G V k I E N v b H V t b n M u e 0 F 0 d H J p Y n V 0 Z S w x f S Z x d W 9 0 O y w m c X V v d D t T Z W N 0 a W 9 u M S 9 J b m Z s Y X R p b 2 4 v V W 5 w a X Z v d G V k I E N v b H V t b n M u e 1 Z h b H V l L D J 9 J n F 1 b 3 Q 7 X S w m c X V v d D t D b 2 x 1 b W 5 D b 3 V u d C Z x d W 9 0 O z o z L C Z x d W 9 0 O 0 t l e U N v b H V t b k 5 h b W V z J n F 1 b 3 Q 7 O l t d L C Z x d W 9 0 O 0 N v b H V t b k l k Z W 5 0 a X R p Z X M m c X V v d D s 6 W y Z x d W 9 0 O 1 N l Y 3 R p b 2 4 x L 0 l u Z m x h d G l v b i 9 V b n B p d m 9 0 Z W Q g Q 2 9 s d W 1 u c y 5 7 U 3 R h d G U s M H 0 m c X V v d D s s J n F 1 b 3 Q 7 U 2 V j d G l v b j E v S W 5 m b G F 0 a W 9 u L 1 V u c G l 2 b 3 R l Z C B D b 2 x 1 b W 5 z L n t B d H R y a W J 1 d G U s M X 0 m c X V v d D s s J n F 1 b 3 Q 7 U 2 V j d G l v b j E v S W 5 m b G F 0 a W 9 u L 1 V u c G l 2 b 3 R l Z C B D b 2 x 1 b W 5 z L n t W Y W x 1 Z S w y f S Z x d W 9 0 O 1 0 s J n F 1 b 3 Q 7 U m V s Y X R p b 2 5 z a G l w S W 5 m b y Z x d W 9 0 O z p b X X 0 i I C 8 + P E V u d H J 5 I F R 5 c G U 9 I k Z p b G x T d G F 0 d X M i I F Z h b H V l P S J z Q 2 9 t c G x l d G U i I C 8 + P E V u d H J 5 I F R 5 c G U 9 I k Z p b G x D b 2 x 1 b W 5 O Y W 1 l c y I g V m F s d W U 9 I n N b J n F 1 b 3 Q 7 U 3 R h d G U m c X V v d D s s J n F 1 b 3 Q 7 R m l u Y W 5 j a W F s I F l l Y X I m c X V v d D s s J n F 1 b 3 Q 7 V m F s d W U m c X V v d D t d I i A v P j x F b n R y e S B U e X B l P S J G a W x s Q 2 9 s d W 1 u V H l w Z X M i I F Z h b H V l P S J z Q U F Z R S I g L z 4 8 R W 5 0 c n k g V H l w Z T 0 i R m l s b E x h c 3 R V c G R h d G V k I i B W Y W x 1 Z T 0 i Z D I w M j U t M D M t M D J U M T U 6 M D Q 6 M z I u M z g 3 N T g 0 M 1 o i I C 8 + P E V u d H J 5 I F R 5 c G U 9 I k Z p b G x F c n J v c k N v d W 5 0 I i B W Y W x 1 Z T 0 i b D A i I C 8 + P E V u d H J 5 I F R 5 c G U 9 I k Z p b G x F c n J v c k N v Z G U i I F Z h b H V l P S J z V W 5 r b m 9 3 b i I g L z 4 8 R W 5 0 c n k g V H l w Z T 0 i R m l s b E N v d W 5 0 I i B W Y W x 1 Z T 0 i b D E w M i I g L z 4 8 R W 5 0 c n k g V H l w Z T 0 i Q W R k Z W R U b 0 R h d G F N b 2 R l b C I g V m F s d W U 9 I m w x I i A v P j w v U 3 R h Y m x l R W 5 0 c m l l c z 4 8 L 0 l 0 Z W 0 + P E l 0 Z W 0 + P E l 0 Z W 1 M b 2 N h d G l v b j 4 8 S X R l b V R 5 c G U + R m 9 y b X V s Y T w v S X R l b V R 5 c G U + P E l 0 Z W 1 Q Y X R o P l N l Y 3 R p b 2 4 x L 0 l u Z m x h d G l v b i 9 T b 3 V y Y 2 U 8 L 0 l 0 Z W 1 Q Y X R o P j w v S X R l b U x v Y 2 F 0 a W 9 u P j x T d G F i b G V F b n R y a W V z I C 8 + P C 9 J d G V t P j x J d G V t P j x J d G V t T G 9 j Y X R p b 2 4 + P E l 0 Z W 1 U e X B l P k Z v c m 1 1 b G E 8 L 0 l 0 Z W 1 U e X B l P j x J d G V t U G F 0 a D 5 T Z W N 0 a W 9 u M S 9 J b m Z s Y X R p b 2 4 v S W 5 m b G F 0 a W 9 u X 1 N o Z W V 0 P C 9 J d G V t U G F 0 a D 4 8 L 0 l 0 Z W 1 M b 2 N h d G l v b j 4 8 U 3 R h Y m x l R W 5 0 c m l l c y A v P j w v S X R l b T 4 8 S X R l b T 4 8 S X R l b U x v Y 2 F 0 a W 9 u P j x J d G V t V H l w Z T 5 G b 3 J t d W x h P C 9 J d G V t V H l w Z T 4 8 S X R l b V B h d G g + U 2 V j d G l v b j E v S W 5 m b G F 0 a W 9 u L 1 B y b 2 1 v d G V k J T I w S G V h Z G V y c z w v S X R l b V B h d G g + P C 9 J d G V t T G 9 j Y X R p b 2 4 + P F N 0 Y W J s Z U V u d H J p Z X M g L z 4 8 L 0 l 0 Z W 0 + P E l 0 Z W 0 + P E l 0 Z W 1 M b 2 N h d G l v b j 4 8 S X R l b V R 5 c G U + R m 9 y b X V s Y T w v S X R l b V R 5 c G U + P E l 0 Z W 1 Q Y X R o P l N l Y 3 R p b 2 4 x L 0 l u Z m x h d G l v b i 9 D a G F u Z 2 V k J T I w V H l w Z T w v S X R l b V B h d G g + P C 9 J d G V t T G 9 j Y X R p b 2 4 + P F N 0 Y W J s Z U V u d H J p Z X M g L z 4 8 L 0 l 0 Z W 0 + P E l 0 Z W 0 + P E l 0 Z W 1 M b 2 N h d G l v b j 4 8 S X R l b V R 5 c G U + R m 9 y b X V s Y T w v S X R l b V R 5 c G U + P E l 0 Z W 1 Q Y X R o P l N l Y 3 R p b 2 4 x L 0 l u Z m x h d G l v b i 9 V b n B p d m 9 0 Z W Q l M j B D b 2 x 1 b W 5 z P C 9 J d G V t U G F 0 a D 4 8 L 0 l 0 Z W 1 M b 2 N h d G l v b j 4 8 U 3 R h Y m x l R W 5 0 c m l l c y A v P j w v S X R l b T 4 8 S X R l b T 4 8 S X R l b U x v Y 2 F 0 a W 9 u P j x J d G V t V H l w Z T 5 G b 3 J t d W x h P C 9 J d G V t V H l w Z T 4 8 S X R l b V B h d G g + U 2 V j d G l v b j E v S W 5 m b G F 0 a W 9 u L 0 R 1 c G x p Y 2 F 0 Z W Q l M j B D b 2 x 1 b W 4 8 L 0 l 0 Z W 1 Q Y X R o P j w v S X R l b U x v Y 2 F 0 a W 9 u P j x T d G F i b G V F b n R y a W V z I C 8 + P C 9 J d G V t P j x J d G V t P j x J d G V t T G 9 j Y X R p b 2 4 + P E l 0 Z W 1 U e X B l P k Z v c m 1 1 b G E 8 L 0 l 0 Z W 1 U e X B l P j x J d G V t U G F 0 a D 5 T Z W N 0 a W 9 u M S 9 J b m Z s Y X R p b 2 4 v U m V t b 3 Z l Z C U y M E N v b H V t b n M 8 L 0 l 0 Z W 1 Q Y X R o P j w v S X R l b U x v Y 2 F 0 a W 9 u P j x T d G F i b G V F b n R y a W V z I C 8 + P C 9 J d G V t P j x J d G V t P j x J d G V t T G 9 j Y X R p b 2 4 + P E l 0 Z W 1 U e X B l P k Z v c m 1 1 b G E 8 L 0 l 0 Z W 1 U e X B l P j x J d G V t U G F 0 a D 5 T Z W N 0 a W 9 u M S 9 J b m Z s Y X R p b 2 4 v U m V u Y W 1 l Z C U y M E N v b H V t b n M 8 L 0 l 0 Z W 1 Q Y X R o P j w v S X R l b U x v Y 2 F 0 a W 9 u P j x T d G F i b G V F b n R y a W V z I C 8 + P C 9 J d G V t P j x J d G V t P j x J d G V t T G 9 j Y X R p b 2 4 + P E l 0 Z W 1 U e X B l P k Z v c m 1 1 b G E 8 L 0 l 0 Z W 1 U e X B l P j x J d G V t U G F 0 a D 5 T Z W N 0 a W 9 u M S 9 B V k V S Q U d F J T I w V 0 F H R S U y M F J B V E U v V W 5 w a X Z v d G V k J T I w Q 2 9 s d W 1 u c z w v S X R l b V B h d G g + P C 9 J d G V t T G 9 j Y X R p b 2 4 + P F N 0 Y W J s Z U V u d H J p Z X M g L z 4 8 L 0 l 0 Z W 0 + P E l 0 Z W 0 + P E l 0 Z W 1 M b 2 N h d G l v b j 4 8 S X R l b V R 5 c G U + R m 9 y b X V s Y T w v S X R l b V R 5 c G U + P E l 0 Z W 1 Q Y X R o P l N l Y 3 R p b 2 4 x L 0 F W R V J B R 0 U l M j B X Q U d F J T I w U k F U R S 9 S Z W 5 h b W V k J T I w Q 2 9 s d W 1 u c z I 8 L 0 l 0 Z W 1 Q Y X R o P j w v S X R l b U x v Y 2 F 0 a W 9 u P j x T d G F i b G V F b n R y a W V z I C 8 + P C 9 J d G V t P j x J d G V t P j x J d G V t T G 9 j Y X R p b 2 4 + P E l 0 Z W 1 U e X B l P k Z v c m 1 1 b G E 8 L 0 l 0 Z W 1 U e X B l P j x J d G V t U G F 0 a D 5 T Z W N 0 a W 9 u M S 9 B V k V S Q U d F J T I w V 0 F H R S U y M F J B V E U v R X h 0 c m F j d G V k J T I w T G F z d C U y M E N o Y X J h Y 3 R l c n M 8 L 0 l 0 Z W 1 Q Y X R o P j w v S X R l b U x v Y 2 F 0 a W 9 u P j x T d G F i b G V F b n R y a W V z I C 8 + P C 9 J d G V t P j x J d G V t P j x J d G V t T G 9 j Y X R p b 2 4 + P E l 0 Z W 1 U e X B l P k Z v c m 1 1 b G E 8 L 0 l 0 Z W 1 U e X B l P j x J d G V t U G F 0 a D 5 T Z W N 0 a W 9 u M S 9 B V k V S Q U d F J T I w V 0 F H R S U y M F J B V E U v Q W R k Z W Q l M j B D d X N 0 b 2 0 8 L 0 l 0 Z W 1 Q Y X R o P j w v S X R l b U x v Y 2 F 0 a W 9 u P j x T d G F i b G V F b n R y a W V z I C 8 + P C 9 J d G V t P j x J d G V t P j x J d G V t T G 9 j Y X R p b 2 4 + P E l 0 Z W 1 U e X B l P k Z v c m 1 1 b G E 8 L 0 l 0 Z W 1 U e X B l P j x J d G V t U G F 0 a D 5 T Z W N 0 a W 9 u M S 9 B V k V S Q U d F J T I w V 0 F H R S U y M F J B V E U v U m V t b 3 Z l Z C U y M E N v b H V t b n M 8 L 0 l 0 Z W 1 Q Y X R o P j w v S X R l b U x v Y 2 F 0 a W 9 u P j x T d G F i b G V F b n R y a W V z I C 8 + P C 9 J d G V t P j x J d G V t P j x J d G V t T G 9 j Y X R p b 2 4 + P E l 0 Z W 1 U e X B l P k Z v c m 1 1 b G E 8 L 0 l 0 Z W 1 U e X B l P j x J d G V t U G F 0 a D 5 T Z W N 0 a W 9 u M S 9 B V k V S Q U d F J T I w V 0 F H R S U y M F J B V E U v U m V v c m R l c m V k J T I w Q 2 9 s d W 1 u c z w v S X R l b V B h d G g + P C 9 J d G V t T G 9 j Y X R p b 2 4 + P F N 0 Y W J s Z U V u d H J p Z X M g L z 4 8 L 0 l 0 Z W 0 + P E l 0 Z W 0 + P E l 0 Z W 1 M b 2 N h d G l v b j 4 8 S X R l b V R 5 c G U + R m 9 y b X V s Y T w v S X R l b V R 5 c G U + P E l 0 Z W 1 Q Y X R o P l N l Y 3 R p b 2 4 x L 0 F W R V J B R 0 U l M j B X Q U d F J T I w U k F U R S 9 S Z W 5 h b W V k J T I w Q 2 9 s d W 1 u c z M 8 L 0 l 0 Z W 1 Q Y X R o P j w v S X R l b U x v Y 2 F 0 a W 9 u P j x T d G F i b G V F b n R y a W V z I C 8 + P C 9 J d G V t P j x J d G V t P j x J d G V t T G 9 j Y X R p b 2 4 + P E l 0 Z W 1 U e X B l P k Z v c m 1 1 b G E 8 L 0 l 0 Z W 1 U e X B l P j x J d G V t U G F 0 a D 5 T Z W N 0 a W 9 u M S 9 B V k V S Q U d F J T I w V 0 F H R S U y M F J B V E U v T W V y Z 2 V k J T I w U X V l c m l l c z I 8 L 0 l 0 Z W 1 Q Y X R o P j w v S X R l b U x v Y 2 F 0 a W 9 u P j x T d G F i b G V F b n R y a W V z I C 8 + P C 9 J d G V t P j x J d G V t P j x J d G V t T G 9 j Y X R p b 2 4 + P E l 0 Z W 1 U e X B l P k Z v c m 1 1 b G E 8 L 0 l 0 Z W 1 U e X B l P j x J d G V t U G F 0 a D 5 T Z W N 0 a W 9 u M S 9 B V k V S Q U d F J T I w V 0 F H R S U y M F J B V E U v R X h w Y W 5 k Z W Q l M j B J b m Z s Y X R p b 2 4 8 L 0 l 0 Z W 1 Q Y X R o P j w v S X R l b U x v Y 2 F 0 a W 9 u P j x T d G F i b G V F b n R y a W V z I C 8 + P C 9 J d G V t P j x J d G V t P j x J d G V t T G 9 j Y X R p b 2 4 + P E l 0 Z W 1 U e X B l P k Z v c m 1 1 b G E 8 L 0 l 0 Z W 1 U e X B l P j x J d G V t U G F 0 a D 5 T Z W N 0 a W 9 u M S 9 N R 0 5 S R U d B 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M 4 M z U 1 Z j U t Y T g 2 Z S 0 0 O D c x L W E y O W Q t Y W Y 2 O T c 1 M D h j N 2 M 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D A i I C 8 + P E V u d H J 5 I F R 5 c G U 9 I k Z p b G x F c n J v c k N v Z G U i I F Z h b H V l P S J z V W 5 r b m 9 3 b i I g L z 4 8 R W 5 0 c n k g V H l w Z T 0 i R m l s b E V y c m 9 y Q 2 9 1 b n Q i I F Z h b H V l P S J s M C I g L z 4 8 R W 5 0 c n k g V H l w Z T 0 i R m l s b E x h c 3 R V c G R h d G V k I i B W Y W x 1 Z T 0 i Z D I w M j U t M D M t M D J U M T Y 6 M j Q 6 N D c u N T E z N D E 0 O V o i I C 8 + P E V u d H J 5 I F R 5 c G U 9 I k Z p b G x D b 2 x 1 b W 5 U e X B l c y I g V m F s d W U 9 I n N C Z 1 l H Q m d Z R 0 J n W U d C Z 1 l H Q m d Z R 0 J n W U d C Z 1 l H Q m d Z R 0 J n W U d C Z 1 l H I i A v P j x F b n R y e S B U e X B l P S J G a W x s Q 2 9 s d W 1 u T m F t Z X M i I F Z h b H V l P S J z W y Z x d W 9 0 O 3 N 0 Y X R l X 2 5 h b W U m c X V v d D s s J n F 1 b 3 Q 7 Z G l z d H J p Y 3 R f b m F t Z S Z x d W 9 0 O y w m c X V v d D t U b 3 R h b C B O b y 4 g b 2 Y g S m 9 i Q 2 F y Z H M g a X N z d W V k J n F 1 b 3 Q 7 L C Z x d W 9 0 O 1 R v d G F s I E 5 v L i B v Z i B X b 3 J r Z X J z J n F 1 b 3 Q 7 L C Z x d W 9 0 O 1 R v d G F s I E 5 v L i B v Z i B B Y 3 R p d m U g S m 9 i I E N h c m R z J n F 1 b 3 Q 7 L C Z x d W 9 0 O 1 R v d G F s I E 5 v L i B v Z i B B Y 3 R p d m U g V 2 9 y a 2 V y c y Z x d W 9 0 O y w m c X V v d D t T Q y B 3 b 3 J r Z X J z I G F n Y W l u c 3 Q g Y W N 0 a X Z l I H d v c m t l c n M m c X V v d D s s J n F 1 b 3 Q 7 U 1 Q g d 2 9 y a 2 V y c y B h Z 2 F p b n N 0 I G F j d G l 2 Z S B 3 b 3 J r Z X J z J n F 1 b 3 Q 7 L C Z x d W 9 0 O 0 F w c H J v d m V k I E x h Y m 9 1 c i B C d W R n Z X Q m c X V v d D s s J n F 1 b 3 Q 7 U G V y c 2 9 u Z G F 5 c y B v Z i B D Z W 5 0 c m F s I E x p Y W J p b G l 0 e S B z b y B m Y X I m c X V v d D s s J n F 1 b 3 Q 7 U 0 M g c G V y c 2 9 u Z G F 5 c y Z x d W 9 0 O y w m c X V v d D t T V C B w Z X J z b 2 5 k Y X l z J n F 1 b 3 Q 7 L C Z x d W 9 0 O 1 d v b W V u I F B l c n N v b m R h e X M m c X V v d D s s J n F 1 b 3 Q 7 Q X Z l c m F n Z S B k Y X l z I G 9 m I G V t c G x v e W 1 l b n Q g c H J v d m l k Z W Q g c G V y I E h v d X N l a G 9 s Z C Z x d W 9 0 O y w m c X V v d D t B d m V y Y W d l I F d h Z 2 U g c m F 0 Z S B w Z X I g Z G F 5 I H B l c i B w Z X J z b 2 4 o U n M u K S Z x d W 9 0 O y w m c X V v d D t U b 3 R h b C B O b y B v Z i B I S H M g Y 2 9 t c G x l d G V k I D E w M C B E Y X l z I G 9 m I F d h Z 2 U g R W 1 w b G 9 5 b W V u d C Z x d W 9 0 O y w m c X V v d D t U b 3 R h b C B I b 3 V z Z W h v b G R z I F d v c m t l Z C Z x d W 9 0 O y w m c X V v d D t U b 3 R h b C B J b m R p d m l k d W F s c y B X b 3 J r Z W Q m c X V v d D s s J n F 1 b 3 Q 7 R G l m Z m V y Z W 5 0 b H k g Y W J s Z W Q g c G V y c 2 9 u c y B 3 b 3 J r Z W Q m c X V v d D s s J n F 1 b 3 Q 7 T n V t Y m V y I G 9 m I E d Q c y B 3 a X R o I E 5 J T C B l e H A m c X V v d D s s J n F 1 b 3 Q 7 V G 9 0 Y W w g T m 8 u I G 9 m I F d v c m t z I F R h a 2 V u d X A g K E 5 l d y t T c G l s b C B P d m V y K S Z x d W 9 0 O y w m c X V v d D t O d W 1 i Z X I g b 2 Y g T 2 5 n b 2 l u Z y B X b 3 J r c y Z x d W 9 0 O y w m c X V v d D t O d W 1 i Z X I g b 2 Y g Q 2 9 t c G x l d G V k I F d v c m t z J n F 1 b 3 Q 7 L C Z x d W 9 0 O y U g b 2 Y g T l J N I E V 4 c G V u Z G l 0 d X J l K F B 1 Y m x p Y y A r I E l u Z G l 2 a W R 1 Y W w p J n F 1 b 3 Q 7 L C Z x d W 9 0 O y U g b 2 Y g Q 2 F 0 Z W d v c n k g Q i B X b 3 J r c y Z x d W 9 0 O y w m c X V v d D s l I G 9 m I E V 4 c G V u Z G l 0 d X J l I G 9 u I E F n c m l j d W x 0 d X J l I F x 1 M D A y N i B B Z 3 J p Y 3 V s d H V y Z S B B b G x p Z W Q g V 2 9 y a 3 M m c X V v d D s s J n F 1 b 3 Q 7 V G 9 0 Y W w g R X h w K F J z L i B p b i B M Y W t o c y 4 p J n F 1 b 3 Q 7 L C Z x d W 9 0 O 1 d h Z 2 V z K F J z L i B J b i B M Y W t o c y k m c X V v d D s s J n F 1 b 3 Q 7 T W F 0 Z X J p Y W w g Y W 5 k I H N r a W x s Z W Q g V 2 F n Z X M o U n M u I E l u I E x h a 2 h z K S Z x d W 9 0 O y w m c X V v d D t U b 3 R h b C B B Z G 0 g R X h w Z W 5 k a X R 1 c m U g K F J z L i B p b i B M Y W t o c y 4 p 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1 H T l J F R 0 E g K D I p L 0 F 1 d G 9 S Z W 1 v d m V k Q 2 9 s d W 1 u c z E u e 3 N 0 Y X R l X 2 5 h b W U s M H 0 m c X V v d D s s J n F 1 b 3 Q 7 U 2 V j d G l v b j E v T U d O U k V H Q S A o M i k v Q X V 0 b 1 J l b W 9 2 Z W R D b 2 x 1 b W 5 z M S 5 7 Z G l z d H J p Y 3 R f b m F t Z S w x f S Z x d W 9 0 O y w m c X V v d D t T Z W N 0 a W 9 u M S 9 N R 0 5 S R U d B I C g y K S 9 B d X R v U m V t b 3 Z l Z E N v b H V t b n M x L n t U b 3 R h b C B O b y 4 g b 2 Y g S m 9 i Q 2 F y Z H M g a X N z d W V k L D J 9 J n F 1 b 3 Q 7 L C Z x d W 9 0 O 1 N l Y 3 R p b 2 4 x L 0 1 H T l J F R 0 E g K D I p L 0 F 1 d G 9 S Z W 1 v d m V k Q 2 9 s d W 1 u c z E u e 1 R v d G F s I E 5 v L i B v Z i B X b 3 J r Z X J z L D N 9 J n F 1 b 3 Q 7 L C Z x d W 9 0 O 1 N l Y 3 R p b 2 4 x L 0 1 H T l J F R 0 E g K D I p L 0 F 1 d G 9 S Z W 1 v d m V k Q 2 9 s d W 1 u c z E u e 1 R v d G F s I E 5 v L i B v Z i B B Y 3 R p d m U g S m 9 i I E N h c m R z L D R 9 J n F 1 b 3 Q 7 L C Z x d W 9 0 O 1 N l Y 3 R p b 2 4 x L 0 1 H T l J F R 0 E g K D I p L 0 F 1 d G 9 S Z W 1 v d m V k Q 2 9 s d W 1 u c z E u e 1 R v d G F s I E 5 v L i B v Z i B B Y 3 R p d m U g V 2 9 y a 2 V y c y w 1 f S Z x d W 9 0 O y w m c X V v d D t T Z W N 0 a W 9 u M S 9 N R 0 5 S R U d B I C g y K S 9 B d X R v U m V t b 3 Z l Z E N v b H V t b n M x L n t T Q y B 3 b 3 J r Z X J z I G F n Y W l u c 3 Q g Y W N 0 a X Z l I H d v c m t l c n M s N n 0 m c X V v d D s s J n F 1 b 3 Q 7 U 2 V j d G l v b j E v T U d O U k V H Q S A o M i k v Q X V 0 b 1 J l b W 9 2 Z W R D b 2 x 1 b W 5 z M S 5 7 U 1 Q g d 2 9 y a 2 V y c y B h Z 2 F p b n N 0 I G F j d G l 2 Z S B 3 b 3 J r Z X J z L D d 9 J n F 1 b 3 Q 7 L C Z x d W 9 0 O 1 N l Y 3 R p b 2 4 x L 0 1 H T l J F R 0 E g K D I p L 0 F 1 d G 9 S Z W 1 v d m V k Q 2 9 s d W 1 u c z E u e 0 F w c H J v d m V k I E x h Y m 9 1 c i B C d W R n Z X Q s O H 0 m c X V v d D s s J n F 1 b 3 Q 7 U 2 V j d G l v b j E v T U d O U k V H Q S A o M i k v Q X V 0 b 1 J l b W 9 2 Z W R D b 2 x 1 b W 5 z M S 5 7 U G V y c 2 9 u Z G F 5 c y B v Z i B D Z W 5 0 c m F s I E x p Y W J p b G l 0 e S B z b y B m Y X I s O X 0 m c X V v d D s s J n F 1 b 3 Q 7 U 2 V j d G l v b j E v T U d O U k V H Q S A o M i k v Q X V 0 b 1 J l b W 9 2 Z W R D b 2 x 1 b W 5 z M S 5 7 U 0 M g c G V y c 2 9 u Z G F 5 c y w x M H 0 m c X V v d D s s J n F 1 b 3 Q 7 U 2 V j d G l v b j E v T U d O U k V H Q S A o M i k v Q X V 0 b 1 J l b W 9 2 Z W R D b 2 x 1 b W 5 z M S 5 7 U 1 Q g c G V y c 2 9 u Z G F 5 c y w x M X 0 m c X V v d D s s J n F 1 b 3 Q 7 U 2 V j d G l v b j E v T U d O U k V H Q S A o M i k v Q X V 0 b 1 J l b W 9 2 Z W R D b 2 x 1 b W 5 z M S 5 7 V 2 9 t Z W 4 g U G V y c 2 9 u Z G F 5 c y w x M n 0 m c X V v d D s s J n F 1 b 3 Q 7 U 2 V j d G l v b j E v T U d O U k V H Q S A o M i k v Q X V 0 b 1 J l b W 9 2 Z W R D b 2 x 1 b W 5 z M S 5 7 Q X Z l c m F n Z S B k Y X l z I G 9 m I G V t c G x v e W 1 l b n Q g c H J v d m l k Z W Q g c G V y I E h v d X N l a G 9 s Z C w x M 3 0 m c X V v d D s s J n F 1 b 3 Q 7 U 2 V j d G l v b j E v T U d O U k V H Q S A o M i k v Q X V 0 b 1 J l b W 9 2 Z W R D b 2 x 1 b W 5 z M S 5 7 Q X Z l c m F n Z S B X Y W d l I H J h d G U g c G V y I G R h e S B w Z X I g c G V y c 2 9 u K F J z L i k s M T R 9 J n F 1 b 3 Q 7 L C Z x d W 9 0 O 1 N l Y 3 R p b 2 4 x L 0 1 H T l J F R 0 E g K D I p L 0 F 1 d G 9 S Z W 1 v d m V k Q 2 9 s d W 1 u c z E u e 1 R v d G F s I E 5 v I G 9 m I E h I c y B j b 2 1 w b G V 0 Z W Q g M T A w I E R h e X M g b 2 Y g V 2 F n Z S B F b X B s b 3 l t Z W 5 0 L D E 1 f S Z x d W 9 0 O y w m c X V v d D t T Z W N 0 a W 9 u M S 9 N R 0 5 S R U d B I C g y K S 9 B d X R v U m V t b 3 Z l Z E N v b H V t b n M x L n t U b 3 R h b C B I b 3 V z Z W h v b G R z I F d v c m t l Z C w x N n 0 m c X V v d D s s J n F 1 b 3 Q 7 U 2 V j d G l v b j E v T U d O U k V H Q S A o M i k v Q X V 0 b 1 J l b W 9 2 Z W R D b 2 x 1 b W 5 z M S 5 7 V G 9 0 Y W w g S W 5 k a X Z p Z H V h b H M g V 2 9 y a 2 V k L D E 3 f S Z x d W 9 0 O y w m c X V v d D t T Z W N 0 a W 9 u M S 9 N R 0 5 S R U d B I C g y K S 9 B d X R v U m V t b 3 Z l Z E N v b H V t b n M x L n t E a W Z m Z X J l b n R s e S B h Y m x l Z C B w Z X J z b 2 5 z I H d v c m t l Z C w x O H 0 m c X V v d D s s J n F 1 b 3 Q 7 U 2 V j d G l v b j E v T U d O U k V H Q S A o M i k v Q X V 0 b 1 J l b W 9 2 Z W R D b 2 x 1 b W 5 z M S 5 7 T n V t Y m V y I G 9 m I E d Q c y B 3 a X R o I E 5 J T C B l e H A s M T l 9 J n F 1 b 3 Q 7 L C Z x d W 9 0 O 1 N l Y 3 R p b 2 4 x L 0 1 H T l J F R 0 E g K D I p L 0 F 1 d G 9 S Z W 1 v d m V k Q 2 9 s d W 1 u c z E u e 1 R v d G F s I E 5 v L i B v Z i B X b 3 J r c y B U Y W t l b n V w I C h O Z X c r U 3 B p b G w g T 3 Z l c i k s M j B 9 J n F 1 b 3 Q 7 L C Z x d W 9 0 O 1 N l Y 3 R p b 2 4 x L 0 1 H T l J F R 0 E g K D I p L 0 F 1 d G 9 S Z W 1 v d m V k Q 2 9 s d W 1 u c z E u e 0 5 1 b W J l c i B v Z i B P b m d v a W 5 n I F d v c m t z L D I x f S Z x d W 9 0 O y w m c X V v d D t T Z W N 0 a W 9 u M S 9 N R 0 5 S R U d B I C g y K S 9 B d X R v U m V t b 3 Z l Z E N v b H V t b n M x L n t O d W 1 i Z X I g b 2 Y g Q 2 9 t c G x l d G V k I F d v c m t z L D I y f S Z x d W 9 0 O y w m c X V v d D t T Z W N 0 a W 9 u M S 9 N R 0 5 S R U d B I C g y K S 9 B d X R v U m V t b 3 Z l Z E N v b H V t b n M x L n s l I G 9 m I E 5 S T S B F e H B l b m R p d H V y Z S h Q d W J s a W M g K y B J b m R p d m l k d W F s K S w y M 3 0 m c X V v d D s s J n F 1 b 3 Q 7 U 2 V j d G l v b j E v T U d O U k V H Q S A o M i k v Q X V 0 b 1 J l b W 9 2 Z W R D b 2 x 1 b W 5 z M S 5 7 J S B v Z i B D Y X R l Z 2 9 y e S B C I F d v c m t z L D I 0 f S Z x d W 9 0 O y w m c X V v d D t T Z W N 0 a W 9 u M S 9 N R 0 5 S R U d B I C g y K S 9 B d X R v U m V t b 3 Z l Z E N v b H V t b n M x L n s l I G 9 m I E V 4 c G V u Z G l 0 d X J l I G 9 u I E F n c m l j d W x 0 d X J l I F x 1 M D A y N i B B Z 3 J p Y 3 V s d H V y Z S B B b G x p Z W Q g V 2 9 y a 3 M s M j V 9 J n F 1 b 3 Q 7 L C Z x d W 9 0 O 1 N l Y 3 R p b 2 4 x L 0 1 H T l J F R 0 E g K D I p L 0 F 1 d G 9 S Z W 1 v d m V k Q 2 9 s d W 1 u c z E u e 1 R v d G F s I E V 4 c C h S c y 4 g a W 4 g T G F r a H M u K S w y N n 0 m c X V v d D s s J n F 1 b 3 Q 7 U 2 V j d G l v b j E v T U d O U k V H Q S A o M i k v Q X V 0 b 1 J l b W 9 2 Z W R D b 2 x 1 b W 5 z M S 5 7 V 2 F n Z X M o U n M u I E l u I E x h a 2 h z K S w y N 3 0 m c X V v d D s s J n F 1 b 3 Q 7 U 2 V j d G l v b j E v T U d O U k V H Q S A o M i k v Q X V 0 b 1 J l b W 9 2 Z W R D b 2 x 1 b W 5 z M S 5 7 T W F 0 Z X J p Y W w g Y W 5 k I H N r a W x s Z W Q g V 2 F n Z X M o U n M u I E l u I E x h a 2 h z K S w y O H 0 m c X V v d D s s J n F 1 b 3 Q 7 U 2 V j d G l v b j E v T U d O U k V H Q S A o M i k v Q X V 0 b 1 J l b W 9 2 Z W R D b 2 x 1 b W 5 z M S 5 7 V G 9 0 Y W w g Q W R t I E V 4 c G V u Z G l 0 d X J l I C h S c y 4 g a W 4 g T G F r a H M u K S w y O X 0 m c X V v d D t d L C Z x d W 9 0 O 0 N v b H V t b k N v d W 5 0 J n F 1 b 3 Q 7 O j M w L C Z x d W 9 0 O 0 t l e U N v b H V t b k 5 h b W V z J n F 1 b 3 Q 7 O l t d L C Z x d W 9 0 O 0 N v b H V t b k l k Z W 5 0 a X R p Z X M m c X V v d D s 6 W y Z x d W 9 0 O 1 N l Y 3 R p b 2 4 x L 0 1 H T l J F R 0 E g K D I p L 0 F 1 d G 9 S Z W 1 v d m V k Q 2 9 s d W 1 u c z E u e 3 N 0 Y X R l X 2 5 h b W U s M H 0 m c X V v d D s s J n F 1 b 3 Q 7 U 2 V j d G l v b j E v T U d O U k V H Q S A o M i k v Q X V 0 b 1 J l b W 9 2 Z W R D b 2 x 1 b W 5 z M S 5 7 Z G l z d H J p Y 3 R f b m F t Z S w x f S Z x d W 9 0 O y w m c X V v d D t T Z W N 0 a W 9 u M S 9 N R 0 5 S R U d B I C g y K S 9 B d X R v U m V t b 3 Z l Z E N v b H V t b n M x L n t U b 3 R h b C B O b y 4 g b 2 Y g S m 9 i Q 2 F y Z H M g a X N z d W V k L D J 9 J n F 1 b 3 Q 7 L C Z x d W 9 0 O 1 N l Y 3 R p b 2 4 x L 0 1 H T l J F R 0 E g K D I p L 0 F 1 d G 9 S Z W 1 v d m V k Q 2 9 s d W 1 u c z E u e 1 R v d G F s I E 5 v L i B v Z i B X b 3 J r Z X J z L D N 9 J n F 1 b 3 Q 7 L C Z x d W 9 0 O 1 N l Y 3 R p b 2 4 x L 0 1 H T l J F R 0 E g K D I p L 0 F 1 d G 9 S Z W 1 v d m V k Q 2 9 s d W 1 u c z E u e 1 R v d G F s I E 5 v L i B v Z i B B Y 3 R p d m U g S m 9 i I E N h c m R z L D R 9 J n F 1 b 3 Q 7 L C Z x d W 9 0 O 1 N l Y 3 R p b 2 4 x L 0 1 H T l J F R 0 E g K D I p L 0 F 1 d G 9 S Z W 1 v d m V k Q 2 9 s d W 1 u c z E u e 1 R v d G F s I E 5 v L i B v Z i B B Y 3 R p d m U g V 2 9 y a 2 V y c y w 1 f S Z x d W 9 0 O y w m c X V v d D t T Z W N 0 a W 9 u M S 9 N R 0 5 S R U d B I C g y K S 9 B d X R v U m V t b 3 Z l Z E N v b H V t b n M x L n t T Q y B 3 b 3 J r Z X J z I G F n Y W l u c 3 Q g Y W N 0 a X Z l I H d v c m t l c n M s N n 0 m c X V v d D s s J n F 1 b 3 Q 7 U 2 V j d G l v b j E v T U d O U k V H Q S A o M i k v Q X V 0 b 1 J l b W 9 2 Z W R D b 2 x 1 b W 5 z M S 5 7 U 1 Q g d 2 9 y a 2 V y c y B h Z 2 F p b n N 0 I G F j d G l 2 Z S B 3 b 3 J r Z X J z L D d 9 J n F 1 b 3 Q 7 L C Z x d W 9 0 O 1 N l Y 3 R p b 2 4 x L 0 1 H T l J F R 0 E g K D I p L 0 F 1 d G 9 S Z W 1 v d m V k Q 2 9 s d W 1 u c z E u e 0 F w c H J v d m V k I E x h Y m 9 1 c i B C d W R n Z X Q s O H 0 m c X V v d D s s J n F 1 b 3 Q 7 U 2 V j d G l v b j E v T U d O U k V H Q S A o M i k v Q X V 0 b 1 J l b W 9 2 Z W R D b 2 x 1 b W 5 z M S 5 7 U G V y c 2 9 u Z G F 5 c y B v Z i B D Z W 5 0 c m F s I E x p Y W J p b G l 0 e S B z b y B m Y X I s O X 0 m c X V v d D s s J n F 1 b 3 Q 7 U 2 V j d G l v b j E v T U d O U k V H Q S A o M i k v Q X V 0 b 1 J l b W 9 2 Z W R D b 2 x 1 b W 5 z M S 5 7 U 0 M g c G V y c 2 9 u Z G F 5 c y w x M H 0 m c X V v d D s s J n F 1 b 3 Q 7 U 2 V j d G l v b j E v T U d O U k V H Q S A o M i k v Q X V 0 b 1 J l b W 9 2 Z W R D b 2 x 1 b W 5 z M S 5 7 U 1 Q g c G V y c 2 9 u Z G F 5 c y w x M X 0 m c X V v d D s s J n F 1 b 3 Q 7 U 2 V j d G l v b j E v T U d O U k V H Q S A o M i k v Q X V 0 b 1 J l b W 9 2 Z W R D b 2 x 1 b W 5 z M S 5 7 V 2 9 t Z W 4 g U G V y c 2 9 u Z G F 5 c y w x M n 0 m c X V v d D s s J n F 1 b 3 Q 7 U 2 V j d G l v b j E v T U d O U k V H Q S A o M i k v Q X V 0 b 1 J l b W 9 2 Z W R D b 2 x 1 b W 5 z M S 5 7 Q X Z l c m F n Z S B k Y X l z I G 9 m I G V t c G x v e W 1 l b n Q g c H J v d m l k Z W Q g c G V y I E h v d X N l a G 9 s Z C w x M 3 0 m c X V v d D s s J n F 1 b 3 Q 7 U 2 V j d G l v b j E v T U d O U k V H Q S A o M i k v Q X V 0 b 1 J l b W 9 2 Z W R D b 2 x 1 b W 5 z M S 5 7 Q X Z l c m F n Z S B X Y W d l I H J h d G U g c G V y I G R h e S B w Z X I g c G V y c 2 9 u K F J z L i k s M T R 9 J n F 1 b 3 Q 7 L C Z x d W 9 0 O 1 N l Y 3 R p b 2 4 x L 0 1 H T l J F R 0 E g K D I p L 0 F 1 d G 9 S Z W 1 v d m V k Q 2 9 s d W 1 u c z E u e 1 R v d G F s I E 5 v I G 9 m I E h I c y B j b 2 1 w b G V 0 Z W Q g M T A w I E R h e X M g b 2 Y g V 2 F n Z S B F b X B s b 3 l t Z W 5 0 L D E 1 f S Z x d W 9 0 O y w m c X V v d D t T Z W N 0 a W 9 u M S 9 N R 0 5 S R U d B I C g y K S 9 B d X R v U m V t b 3 Z l Z E N v b H V t b n M x L n t U b 3 R h b C B I b 3 V z Z W h v b G R z I F d v c m t l Z C w x N n 0 m c X V v d D s s J n F 1 b 3 Q 7 U 2 V j d G l v b j E v T U d O U k V H Q S A o M i k v Q X V 0 b 1 J l b W 9 2 Z W R D b 2 x 1 b W 5 z M S 5 7 V G 9 0 Y W w g S W 5 k a X Z p Z H V h b H M g V 2 9 y a 2 V k L D E 3 f S Z x d W 9 0 O y w m c X V v d D t T Z W N 0 a W 9 u M S 9 N R 0 5 S R U d B I C g y K S 9 B d X R v U m V t b 3 Z l Z E N v b H V t b n M x L n t E a W Z m Z X J l b n R s e S B h Y m x l Z C B w Z X J z b 2 5 z I H d v c m t l Z C w x O H 0 m c X V v d D s s J n F 1 b 3 Q 7 U 2 V j d G l v b j E v T U d O U k V H Q S A o M i k v Q X V 0 b 1 J l b W 9 2 Z W R D b 2 x 1 b W 5 z M S 5 7 T n V t Y m V y I G 9 m I E d Q c y B 3 a X R o I E 5 J T C B l e H A s M T l 9 J n F 1 b 3 Q 7 L C Z x d W 9 0 O 1 N l Y 3 R p b 2 4 x L 0 1 H T l J F R 0 E g K D I p L 0 F 1 d G 9 S Z W 1 v d m V k Q 2 9 s d W 1 u c z E u e 1 R v d G F s I E 5 v L i B v Z i B X b 3 J r c y B U Y W t l b n V w I C h O Z X c r U 3 B p b G w g T 3 Z l c i k s M j B 9 J n F 1 b 3 Q 7 L C Z x d W 9 0 O 1 N l Y 3 R p b 2 4 x L 0 1 H T l J F R 0 E g K D I p L 0 F 1 d G 9 S Z W 1 v d m V k Q 2 9 s d W 1 u c z E u e 0 5 1 b W J l c i B v Z i B P b m d v a W 5 n I F d v c m t z L D I x f S Z x d W 9 0 O y w m c X V v d D t T Z W N 0 a W 9 u M S 9 N R 0 5 S R U d B I C g y K S 9 B d X R v U m V t b 3 Z l Z E N v b H V t b n M x L n t O d W 1 i Z X I g b 2 Y g Q 2 9 t c G x l d G V k I F d v c m t z L D I y f S Z x d W 9 0 O y w m c X V v d D t T Z W N 0 a W 9 u M S 9 N R 0 5 S R U d B I C g y K S 9 B d X R v U m V t b 3 Z l Z E N v b H V t b n M x L n s l I G 9 m I E 5 S T S B F e H B l b m R p d H V y Z S h Q d W J s a W M g K y B J b m R p d m l k d W F s K S w y M 3 0 m c X V v d D s s J n F 1 b 3 Q 7 U 2 V j d G l v b j E v T U d O U k V H Q S A o M i k v Q X V 0 b 1 J l b W 9 2 Z W R D b 2 x 1 b W 5 z M S 5 7 J S B v Z i B D Y X R l Z 2 9 y e S B C I F d v c m t z L D I 0 f S Z x d W 9 0 O y w m c X V v d D t T Z W N 0 a W 9 u M S 9 N R 0 5 S R U d B I C g y K S 9 B d X R v U m V t b 3 Z l Z E N v b H V t b n M x L n s l I G 9 m I E V 4 c G V u Z G l 0 d X J l I G 9 u I E F n c m l j d W x 0 d X J l I F x 1 M D A y N i B B Z 3 J p Y 3 V s d H V y Z S B B b G x p Z W Q g V 2 9 y a 3 M s M j V 9 J n F 1 b 3 Q 7 L C Z x d W 9 0 O 1 N l Y 3 R p b 2 4 x L 0 1 H T l J F R 0 E g K D I p L 0 F 1 d G 9 S Z W 1 v d m V k Q 2 9 s d W 1 u c z E u e 1 R v d G F s I E V 4 c C h S c y 4 g a W 4 g T G F r a H M u K S w y N n 0 m c X V v d D s s J n F 1 b 3 Q 7 U 2 V j d G l v b j E v T U d O U k V H Q S A o M i k v Q X V 0 b 1 J l b W 9 2 Z W R D b 2 x 1 b W 5 z M S 5 7 V 2 F n Z X M o U n M u I E l u I E x h a 2 h z K S w y N 3 0 m c X V v d D s s J n F 1 b 3 Q 7 U 2 V j d G l v b j E v T U d O U k V H Q S A o M i k v Q X V 0 b 1 J l b W 9 2 Z W R D b 2 x 1 b W 5 z M S 5 7 T W F 0 Z X J p Y W w g Y W 5 k I H N r a W x s Z W Q g V 2 F n Z X M o U n M u I E l u I E x h a 2 h z K S w y O H 0 m c X V v d D s s J n F 1 b 3 Q 7 U 2 V j d G l v b j E v T U d O U k V H Q S A o M i k v Q X V 0 b 1 J l b W 9 2 Z W R D b 2 x 1 b W 5 z M S 5 7 V G 9 0 Y W w g Q W R t I E V 4 c G V u Z G l 0 d X J l I C h S c y 4 g a W 4 g T G F r a H M u K S w y O X 0 m c X V v d D t d L C Z x d W 9 0 O 1 J l b G F 0 a W 9 u c 2 h p c E l u Z m 8 m c X V v d D s 6 W 1 1 9 I i A v P j w v U 3 R h Y m x l R W 5 0 c m l l c z 4 8 L 0 l 0 Z W 0 + P E l 0 Z W 0 + P E l 0 Z W 1 M b 2 N h d G l v b j 4 8 S X R l b V R 5 c G U + R m 9 y b X V s Y T w v S X R l b V R 5 c G U + P E l 0 Z W 1 Q Y X R o P l N l Y 3 R p b 2 4 x L 0 1 H T l J F R 0 E l M j A o M i k v U 2 9 1 c m N l P C 9 J d G V t U G F 0 a D 4 8 L 0 l 0 Z W 1 M b 2 N h d G l v b j 4 8 U 3 R h Y m x l R W 5 0 c m l l c y A v P j w v S X R l b T 4 8 S X R l b T 4 8 S X R l b U x v Y 2 F 0 a W 9 u P j x J d G V t V H l w Z T 5 G b 3 J t d W x h P C 9 J d G V t V H l w Z T 4 8 S X R l b V B h d G g + U 2 V j d G l v b j E v T U d O U k V H Q S U y M C g y K S 9 Q c m 9 t b 3 R l Z C U y M E h l Y W R l c n M 8 L 0 l 0 Z W 1 Q Y X R o P j w v S X R l b U x v Y 2 F 0 a W 9 u P j x T d G F i b G V F b n R y a W V z I C 8 + P C 9 J d G V t P j x J d G V t P j x J d G V t T G 9 j Y X R p b 2 4 + P E l 0 Z W 1 U e X B l P k Z v c m 1 1 b G E 8 L 0 l 0 Z W 1 U e X B l P j x J d G V t U G F 0 a D 5 T Z W N 0 a W 9 u M S 9 N R 0 5 S R U d B J T I w U 0 M l M j B T V C U y M F d P T U V O J T I w U E V S U 0 9 O R E F Z U z w v S X R l b V B h d G g + P C 9 J d G V t T G 9 j Y X R p b 2 4 + P F N 0 Y W J s Z U V u d H J p Z X M + P E V u d H J 5 I F R 5 c G U 9 I k l z U H J p d m F 0 Z S I g V m F s d W U 9 I m w w I i A v P j x F b n R y e S B U e X B l P S J R d W V y e U l E I i B W Y W x 1 Z T 0 i c z k 5 Y 2 M y N 2 I 2 L W U x Y 2 M t N D U z O S 0 4 O G V m L T E 1 N j M 4 M D F h O G I 5 Y y I g L z 4 8 R W 5 0 c n k g V H l w Z T 0 i R m l s b E V u Y W J s Z W Q i I F Z h b H V l P S J s M C I g L z 4 8 R W 5 0 c n k g V H l w Z T 0 i R m l s b E N v b H V t b l R 5 c G V z I i B W Y W x 1 Z T 0 i c 0 J n W U Y i I C 8 + P E V u d H J 5 I F R 5 c G U 9 I k Z p b G x M Y X N 0 V X B k Y X R l Z C I g V m F s d W U 9 I m Q y M D I 1 L T A z L T A 3 V D A 5 O j E 5 O j I 1 L j Y 0 N D Y 2 M T l 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E i I C 8 + P E V u d H J 5 I F R 5 c G U 9 I k Z p b G x F c n J v c k N v Z G U i I F Z h b H V l P S J z V W 5 r b m 9 3 b i I g L z 4 8 R W 5 0 c n k g V H l w Z T 0 i Q W R k Z W R U b 0 R h d G F N b 2 R l b C I g V m F s d W U 9 I m w x I i A v P j x F b n R y e S B U e X B l P S J G a W x s R X J y b 3 J D b 3 V u d C I g V m F s d W U 9 I m w w I i A v P j x F b n R y e S B U e X B l P S J G a W x s T 2 J q Z W N 0 V H l w Z S I g V m F s d W U 9 I n N D b 2 5 u Z W N 0 a W 9 u T 2 5 s e S I g L z 4 8 R W 5 0 c n k g V H l w Z T 0 i R m l s b E N v b H V t b k 5 h b W V z I i B W Y W x 1 Z T 0 i c 1 s m c X V v d D t z d G F 0 Z V 9 u Y W 1 l J n F 1 b 3 Q 7 L C Z x d W 9 0 O 0 F 0 d H J p Y n V 0 Z S Z x d W 9 0 O y w m c X V v d D t W Y W x 1 Z S Z x d W 9 0 O 1 0 i I C 8 + P E V u d H J 5 I F R 5 c G U 9 I k Z p b G x T d G F 0 d X M i I F Z h b H V l P S J z Q 2 9 t c G x l d G U i I C 8 + P E V u d H J 5 I F R 5 c G U 9 I k Z p b G x D b 3 V u d C I g V m F s d W U 9 I m w x M z Y i I C 8 + P E V u d H J 5 I F R 5 c G U 9 I l J l b G F 0 a W 9 u c 2 h p c E l u Z m 9 D b 2 5 0 Y W l u Z X I i I F Z h b H V l P S J z e y Z x d W 9 0 O 2 N v b H V t b k N v d W 5 0 J n F 1 b 3 Q 7 O j M s J n F 1 b 3 Q 7 a 2 V 5 Q 2 9 s d W 1 u T m F t Z X M m c X V v d D s 6 W y Z x d W 9 0 O 3 N 0 Y X R l X 2 5 h b W U m c X V v d D s s J n F 1 b 3 Q 7 Q X R 0 c m l i d X R l J n F 1 b 3 Q 7 X S w m c X V v d D t x d W V y e V J l b G F 0 a W 9 u c 2 h p c H M m c X V v d D s 6 W 1 0 s J n F 1 b 3 Q 7 Y 2 9 s d W 1 u S W R l b n R p d G l l c y Z x d W 9 0 O z p b J n F 1 b 3 Q 7 U 2 V j d G l v b j E v T U d O U k V H Q S B T Q y B T V C B X T 0 1 F T i B Q R V J T T 0 5 E Q V l T L 1 V u c G l 2 b 3 R l Z C B D b 2 x 1 b W 5 z L n t z d G F 0 Z V 9 u Y W 1 l L D B 9 J n F 1 b 3 Q 7 L C Z x d W 9 0 O 1 N l Y 3 R p b 2 4 x L 0 1 H T l J F R 0 E g U 0 M g U 1 Q g V 0 9 N R U 4 g U E V S U 0 9 O R E F Z U y 9 V b n B p d m 9 0 Z W Q g Q 2 9 s d W 1 u c y 5 7 Q X R 0 c m l i d X R l L D F 9 J n F 1 b 3 Q 7 L C Z x d W 9 0 O 1 N l Y 3 R p b 2 4 x L 0 1 H T l J F R 0 E g U 0 M g U 1 Q g V 0 9 N R U 4 g U E V S U 0 9 O R E F Z U y 9 V b n B p d m 9 0 Z W Q g Q 2 9 s d W 1 u c y 5 7 V m F s d W U s M n 0 m c X V v d D t d L C Z x d W 9 0 O 0 N v b H V t b k N v d W 5 0 J n F 1 b 3 Q 7 O j M s J n F 1 b 3 Q 7 S 2 V 5 Q 2 9 s d W 1 u T m F t Z X M m c X V v d D s 6 W y Z x d W 9 0 O 3 N 0 Y X R l X 2 5 h b W U m c X V v d D s s J n F 1 b 3 Q 7 Q X R 0 c m l i d X R l J n F 1 b 3 Q 7 X S w m c X V v d D t D b 2 x 1 b W 5 J Z G V u d G l 0 a W V z J n F 1 b 3 Q 7 O l s m c X V v d D t T Z W N 0 a W 9 u M S 9 N R 0 5 S R U d B I F N D I F N U I F d P T U V O I F B F U l N P T k R B W V M v V W 5 w a X Z v d G V k I E N v b H V t b n M u e 3 N 0 Y X R l X 2 5 h b W U s M H 0 m c X V v d D s s J n F 1 b 3 Q 7 U 2 V j d G l v b j E v T U d O U k V H Q S B T Q y B T V C B X T 0 1 F T i B Q R V J T T 0 5 E Q V l T L 1 V u c G l 2 b 3 R l Z C B D b 2 x 1 b W 5 z L n t B d H R y a W J 1 d G U s M X 0 m c X V v d D s s J n F 1 b 3 Q 7 U 2 V j d G l v b j E v T U d O U k V H Q S B T Q y B T V C B X T 0 1 F T i B Q R V J T T 0 5 E Q V l T L 1 V u c G l 2 b 3 R l Z C B D b 2 x 1 b W 5 z L n t W Y W x 1 Z S w y f S Z x d W 9 0 O 1 0 s J n F 1 b 3 Q 7 U m V s Y X R p b 2 5 z a G l w S W 5 m b y Z x d W 9 0 O z p b X X 0 i I C 8 + P E V u d H J 5 I F R 5 c G U 9 I k x v Y W R l Z F R v Q W 5 h b H l z a X N T Z X J 2 a W N l c y I g V m F s d W U 9 I m w w I i A v P j w v U 3 R h Y m x l R W 5 0 c m l l c z 4 8 L 0 l 0 Z W 0 + P E l 0 Z W 0 + P E l 0 Z W 1 M b 2 N h d G l v b j 4 8 S X R l b V R 5 c G U + R m 9 y b X V s Y T w v S X R l b V R 5 c G U + P E l 0 Z W 1 Q Y X R o P l N l Y 3 R p b 2 4 x L 0 1 H T l J F R 0 E l M j B T Q y U y M F N U J T I w V 0 9 N R U 4 l M j B Q R V J T T 0 5 E Q V l T L 1 N v d X J j Z T w v S X R l b V B h d G g + P C 9 J d G V t T G 9 j Y X R p b 2 4 + P F N 0 Y W J s Z U V u d H J p Z X M g L z 4 8 L 0 l 0 Z W 0 + P E l 0 Z W 0 + P E l 0 Z W 1 M b 2 N h d G l v b j 4 8 S X R l b V R 5 c G U + R m 9 y b X V s Y T w v S X R l b V R 5 c G U + P E l 0 Z W 1 Q Y X R o P l N l Y 3 R p b 2 4 x L 0 1 H T l J F R 0 E l M j B T Q y U y M F N U J T I w V 0 9 N R U 4 l M j B Q R V J T T 0 5 E Q V l T L 1 B y b 2 1 v d G V k J T I w S G V h Z G V y c z w v S X R l b V B h d G g + P C 9 J d G V t T G 9 j Y X R p b 2 4 + P F N 0 Y W J s Z U V u d H J p Z X M g L z 4 8 L 0 l 0 Z W 0 + P E l 0 Z W 0 + P E l 0 Z W 1 M b 2 N h d G l v b j 4 8 S X R l b V R 5 c G U + R m 9 y b X V s Y T w v S X R l b V R 5 c G U + P E l 0 Z W 1 Q Y X R o P l N l Y 3 R p b 2 4 x L 0 1 H T l J F R 0 E l M j B T Q y U y M F N U J T I w V 0 9 N R U 4 l M j B Q R V J T T 0 5 E Q V l T L 0 N o Y W 5 n Z W Q l M j B U e X B l P C 9 J d G V t U G F 0 a D 4 8 L 0 l 0 Z W 1 M b 2 N h d G l v b j 4 8 U 3 R h Y m x l R W 5 0 c m l l c y A v P j w v S X R l b T 4 8 S X R l b T 4 8 S X R l b U x v Y 2 F 0 a W 9 u P j x J d G V t V H l w Z T 5 G b 3 J t d W x h P C 9 J d G V t V H l w Z T 4 8 S X R l b V B h d G g + U 2 V j d G l v b j E v T U d O U k V H Q S U y M F N D J T I w U 1 Q l M j B X T 0 1 F T i U y M F B F U l N P T k R B W V M v S k 9 C J T I w Q 0 F S R C U y M F V U S U x J W k F U S U 9 O P C 9 J d G V t U G F 0 a D 4 8 L 0 l 0 Z W 1 M b 2 N h d G l v b j 4 8 U 3 R h Y m x l R W 5 0 c m l l c y A v P j w v S X R l b T 4 8 S X R l b T 4 8 S X R l b U x v Y 2 F 0 a W 9 u P j x J d G V t V H l w Z T 5 G b 3 J t d W x h P C 9 J d G V t V H l w Z T 4 8 S X R l b V B h d G g + U 2 V j d G l v b j E v T U d O U k V H Q S U y M F N D J T I w U 1 Q l M j B X T 0 1 F T i U y M F B F U l N P T k R B W V M v Q 2 h h b m d l Z C U y M F R 5 c G U x P C 9 J d G V t U G F 0 a D 4 8 L 0 l 0 Z W 1 M b 2 N h d G l v b j 4 8 U 3 R h Y m x l R W 5 0 c m l l c y A v P j w v S X R l b T 4 8 S X R l b T 4 8 S X R l b U x v Y 2 F 0 a W 9 u P j x J d G V t V H l w Z T 5 G b 3 J t d W x h P C 9 J d G V t V H l w Z T 4 8 S X R l b V B h d G g + U 2 V j d G l v b j E v T U d O U k V H Q S U y M F N D J T I w U 1 Q l M j B X T 0 1 F T i U y M F B F U l N P T k R B W V M v V 0 9 S S 0 V S J T I w U E F S V E l D S V B B V E l P T i U y M F J B V E U l M j B Q Q 1 Q 8 L 0 l 0 Z W 1 Q Y X R o P j w v S X R l b U x v Y 2 F 0 a W 9 u P j x T d G F i b G V F b n R y a W V z I C 8 + P C 9 J d G V t P j x J d G V t P j x J d G V t T G 9 j Y X R p b 2 4 + P E l 0 Z W 1 U e X B l P k Z v c m 1 1 b G E 8 L 0 l 0 Z W 1 U e X B l P j x J d G V t U G F 0 a D 5 T Z W N 0 a W 9 u M S 9 N R 0 5 S R U d B J T I w U 0 M l M j B T V C U y M F d P T U V O J T I w U E V S U 0 9 O R E F Z U y 9 D a G F u Z 2 V k J T I w V H l w Z T I 8 L 0 l 0 Z W 1 Q Y X R o P j w v S X R l b U x v Y 2 F 0 a W 9 u P j x T d G F i b G V F b n R y a W V z I C 8 + P C 9 J d G V t P j x J d G V t P j x J d G V t T G 9 j Y X R p b 2 4 + P E l 0 Z W 1 U e X B l P k Z v c m 1 1 b G E 8 L 0 l 0 Z W 1 U e X B l P j x J d G V t U G F 0 a D 5 T Z W N 0 a W 9 u M S 9 N R 0 5 S R U d B J T I w U 0 M l M j B T V C U y M F d P T U V O J T I w U E V S U 0 9 O R E F Z U y 9 T Q y U y M F B B U l R J Q 0 l Q Q V R J T 0 4 l M j B S Q V R F P C 9 J d G V t U G F 0 a D 4 8 L 0 l 0 Z W 1 M b 2 N h d G l v b j 4 8 U 3 R h Y m x l R W 5 0 c m l l c y A v P j w v S X R l b T 4 8 S X R l b T 4 8 S X R l b U x v Y 2 F 0 a W 9 u P j x J d G V t V H l w Z T 5 G b 3 J t d W x h P C 9 J d G V t V H l w Z T 4 8 S X R l b V B h d G g + U 2 V j d G l v b j E v T U d O U k V H Q S U y M F N D J T I w U 1 Q l M j B X T 0 1 F T i U y M F B F U l N P T k R B W V M v Q 2 h h b m d l Z C U y M F R 5 c G U z P C 9 J d G V t U G F 0 a D 4 8 L 0 l 0 Z W 1 M b 2 N h d G l v b j 4 8 U 3 R h Y m x l R W 5 0 c m l l c y A v P j w v S X R l b T 4 8 S X R l b T 4 8 S X R l b U x v Y 2 F 0 a W 9 u P j x J d G V t V H l w Z T 5 G b 3 J t d W x h P C 9 J d G V t V H l w Z T 4 8 S X R l b V B h d G g + U 2 V j d G l v b j E v T U d O U k V H Q S U y M F N D J T I w U 1 Q l M j B X T 0 1 F T i U y M F B F U l N P T k R B W V M v U 1 Q l M j B Q Q V J U S U N J U E F U S U 9 O J T I w U k F U R T w v S X R l b V B h d G g + P C 9 J d G V t T G 9 j Y X R p b 2 4 + P F N 0 Y W J s Z U V u d H J p Z X M g L z 4 8 L 0 l 0 Z W 0 + P E l 0 Z W 0 + P E l 0 Z W 1 M b 2 N h d G l v b j 4 8 S X R l b V R 5 c G U + R m 9 y b X V s Y T w v S X R l b V R 5 c G U + P E l 0 Z W 1 Q Y X R o P l N l Y 3 R p b 2 4 x L 0 1 H T l J F R 0 E l M j B T Q y U y M F N U J T I w V 0 9 N R U 4 l M j B Q R V J T T 0 5 E Q V l T L 0 N o Y W 5 n Z W Q l M j B U e X B l N D w v S X R l b V B h d G g + P C 9 J d G V t T G 9 j Y X R p b 2 4 + P F N 0 Y W J s Z U V u d H J p Z X M g L z 4 8 L 0 l 0 Z W 0 + P E l 0 Z W 0 + P E l 0 Z W 1 M b 2 N h d G l v b j 4 8 S X R l b V R 5 c G U + R m 9 y b X V s Y T w v S X R l b V R 5 c G U + P E l 0 Z W 1 Q Y X R o P l N l Y 3 R p b 2 4 x L 0 1 H T l J F R 0 E l M j B T Q y U y M F N U J T I w V 0 9 N R U 4 l M j B Q R V J T T 0 5 E Q V l T L 1 d v b W V u J T I w U G F y d G l j a X B h d G l v b i U y M F J h d G U 8 L 0 l 0 Z W 1 Q Y X R o P j w v S X R l b U x v Y 2 F 0 a W 9 u P j x T d G F i b G V F b n R y a W V z I C 8 + P C 9 J d G V t P j x J d G V t P j x J d G V t T G 9 j Y X R p b 2 4 + P E l 0 Z W 1 U e X B l P k Z v c m 1 1 b G E 8 L 0 l 0 Z W 1 U e X B l P j x J d G V t U G F 0 a D 5 T Z W N 0 a W 9 u M S 9 N R 0 5 S R U d B J T I w U 0 M l M j B T V C U y M F d P T U V O J T I w U E V S U 0 9 O R E F Z U y 9 D a G F u Z 2 V k J T I w V H l w Z T U 8 L 0 l 0 Z W 1 Q Y X R o P j w v S X R l b U x v Y 2 F 0 a W 9 u P j x T d G F i b G V F b n R y a W V z I C 8 + P C 9 J d G V t P j x J d G V t P j x J d G V t T G 9 j Y X R p b 2 4 + P E l 0 Z W 1 U e X B l P k Z v c m 1 1 b G E 8 L 0 l 0 Z W 1 U e X B l P j x J d G V t U G F 0 a D 5 T Z W N 0 a W 9 u M S 9 N R 0 5 S R U d B J T I w U 0 M l M j B T V C U y M F d P T U V O J T I w U E V S U 0 9 O R E F Z U y 9 S Z W 1 v d m V k J T I w Q 2 9 s d W 1 u c z w v S X R l b V B h d G g + P C 9 J d G V t T G 9 j Y X R p b 2 4 + P F N 0 Y W J s Z U V u d H J p Z X M g L z 4 8 L 0 l 0 Z W 0 + P E l 0 Z W 0 + P E l 0 Z W 1 M b 2 N h d G l v b j 4 8 S X R l b V R 5 c G U + R m 9 y b X V s Y T w v S X R l b V R 5 c G U + P E l 0 Z W 1 Q Y X R o P l N l Y 3 R p b 2 4 x L 0 1 H T l J F R 0 E l M j B T Q y U y M F N U J T I w V 0 9 N R U 4 l M j B Q R V J T T 0 5 E Q V l T L 0 d y b 3 V w Z W Q l M j B S b 3 d z P C 9 J d G V t U G F 0 a D 4 8 L 0 l 0 Z W 1 M b 2 N h d G l v b j 4 8 U 3 R h Y m x l R W 5 0 c m l l c y A v P j w v S X R l b T 4 8 S X R l b T 4 8 S X R l b U x v Y 2 F 0 a W 9 u P j x J d G V t V H l w Z T 5 G b 3 J t d W x h P C 9 J d G V t V H l w Z T 4 8 S X R l b V B h d G g + U 2 V j d G l v b j E v T U d O U k V H Q S U y M F N D J T I w U 1 Q l M j B X T 0 1 F T i U y M F B F U l N P T k R B W V M v V W 5 w a X Z v d G V k J T I w Q 2 9 s d W 1 u c z w v S X R l b V B h d G g + P C 9 J d G V t T G 9 j Y X R p b 2 4 + P F N 0 Y W J s Z U V u d H J p Z X M g L z 4 8 L 0 l 0 Z W 0 + P E l 0 Z W 0 + P E l 0 Z W 1 M b 2 N h d G l v b j 4 8 S X R l b V R 5 c G U + R m 9 y b X V s Y T w v S X R l b V R 5 c G U + P E l 0 Z W 1 Q Y X R o P l N l Y 3 R p b 2 4 x L 0 1 H T l J F R 0 E l M j B Q R V J T T 0 5 E Q V l T P C 9 J d G V t U G F 0 a D 4 8 L 0 l 0 Z W 1 M b 2 N h d G l v b j 4 8 U 3 R h Y m x l R W 5 0 c m l l c z 4 8 R W 5 0 c n k g V H l w Z T 0 i U X V l c n l J R C I g V m F s d W U 9 I n M z Y 2 E x O T Z i O S 0 z Y T F j L T R m O D c t Y T l j N y 0 w Z T Y 0 M z E 5 M z M z Z m E i I C 8 + P E V u d H J 5 I F R 5 c G U 9 I k Z p b G x F b m F i b G V k I i B W Y W x 1 Z T 0 i b D A i I C 8 + P E V u d H J 5 I F R 5 c G U 9 I k Z p b G x M Y X N 0 V X B k Y X R l Z C I g V m F s d W U 9 I m Q y M D I 1 L T A z L T A 3 V D E w O j I w O j E w L j g z M D M 1 M D N a I i A v P j x F b n R y e S B U e X B l P S J J c 1 B y a X Z h d G U 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X J y b 3 J D b 3 V u d C I g V m F s d W U 9 I m w w I i A v P j x F b n R y e S B U e X B l P S J B Z G R l Z F R v R G F 0 Y U 1 v Z G V s I i B W Y W x 1 Z T 0 i b D A i I C 8 + P E V u d H J 5 I F R 5 c G U 9 I k Z p b G x D b 2 x 1 b W 5 U e X B l c y I g V m F s d W U 9 I n N C Z 1 l E I i A v P j x F b n R y e S B U e X B l P S J G a W x s Z W R D b 2 1 w b G V 0 Z V J l c 3 V s d F R v V 2 9 y a 3 N o Z W V 0 I i B W Y W x 1 Z T 0 i b D E i I C 8 + P E V u d H J 5 I F R 5 c G U 9 I k Z p b G x P Y m p l Y 3 R U e X B l I i B W Y W x 1 Z T 0 i c 0 N v b m 5 l Y 3 R p b 2 5 P b m x 5 I i A v P j x F b n R y e S B U e X B l P S J G a W x s V G 9 E Y X R h T W 9 k Z W x F b m F i b G V k I i B W Y W x 1 Z T 0 i b D A i I C 8 + P E V u d H J 5 I F R 5 c G U 9 I k Z p b G x D b 3 V u d C I g V m F s d W U 9 I m w y M j I w I i A v P j x F b n R y e S B U e X B l P S J G a W x s R X J y b 3 J D b 2 R l I i B W Y W x 1 Z T 0 i c 1 V u a 2 5 v d 2 4 i I C 8 + P E V u d H J 5 I F R 5 c G U 9 I k Z p b G x D b 2 x 1 b W 5 O Y W 1 l c y I g V m F s d W U 9 I n N b J n F 1 b 3 Q 7 c 3 R h d G V f b m F t Z S 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N R 0 5 S R U d B I F B F U l N P T k R B W V M v Q X V 0 b 1 J l b W 9 2 Z W R D b 2 x 1 b W 5 z M S 5 7 c 3 R h d G V f b m F t Z S w w f S Z x d W 9 0 O y w m c X V v d D t T Z W N 0 a W 9 u M S 9 N R 0 5 S R U d B I F B F U l N P T k R B W V M v Q X V 0 b 1 J l b W 9 2 Z W R D b 2 x 1 b W 5 z M S 5 7 Q X R 0 c m l i d X R l L D F 9 J n F 1 b 3 Q 7 L C Z x d W 9 0 O 1 N l Y 3 R p b 2 4 x L 0 1 H T l J F R 0 E g U E V S U 0 9 O R E F Z U y 9 B d X R v U m V t b 3 Z l Z E N v b H V t b n M x L n t W Y W x 1 Z S w y f S Z x d W 9 0 O 1 0 s J n F 1 b 3 Q 7 Q 2 9 s d W 1 u Q 2 9 1 b n Q m c X V v d D s 6 M y w m c X V v d D t L Z X l D b 2 x 1 b W 5 O Y W 1 l c y Z x d W 9 0 O z p b X S w m c X V v d D t D b 2 x 1 b W 5 J Z G V u d G l 0 a W V z J n F 1 b 3 Q 7 O l s m c X V v d D t T Z W N 0 a W 9 u M S 9 N R 0 5 S R U d B I F B F U l N P T k R B W V M v Q X V 0 b 1 J l b W 9 2 Z W R D b 2 x 1 b W 5 z M S 5 7 c 3 R h d G V f b m F t Z S w w f S Z x d W 9 0 O y w m c X V v d D t T Z W N 0 a W 9 u M S 9 N R 0 5 S R U d B I F B F U l N P T k R B W V M v Q X V 0 b 1 J l b W 9 2 Z W R D b 2 x 1 b W 5 z M S 5 7 Q X R 0 c m l i d X R l L D F 9 J n F 1 b 3 Q 7 L C Z x d W 9 0 O 1 N l Y 3 R p b 2 4 x L 0 1 H T l J F R 0 E g U E V S U 0 9 O R E F Z U y 9 B d X R v U m V t b 3 Z l Z E N v b H V t b n M x L n t W Y W x 1 Z S w y f S Z x d W 9 0 O 1 0 s J n F 1 b 3 Q 7 U m V s Y X R p b 2 5 z a G l w S W 5 m b y Z x d W 9 0 O z p b X X 0 i I C 8 + P C 9 T d G F i b G V F b n R y a W V z P j w v S X R l b T 4 8 S X R l b T 4 8 S X R l b U x v Y 2 F 0 a W 9 u P j x J d G V t V H l w Z T 5 G b 3 J t d W x h P C 9 J d G V t V H l w Z T 4 8 S X R l b V B h d G g + U 2 V j d G l v b j E v T U d O U k V H Q S U y M F B F U l N P T k R B W V M v U 2 9 1 c m N l P C 9 J d G V t U G F 0 a D 4 8 L 0 l 0 Z W 1 M b 2 N h d G l v b j 4 8 U 3 R h Y m x l R W 5 0 c m l l c y A v P j w v S X R l b T 4 8 S X R l b T 4 8 S X R l b U x v Y 2 F 0 a W 9 u P j x J d G V t V H l w Z T 5 G b 3 J t d W x h P C 9 J d G V t V H l w Z T 4 8 S X R l b V B h d G g + U 2 V j d G l v b j E v T U d O U k V H Q S U y M F B F U l N P T k R B W V M v U m V t b 3 Z l Z C U y M E N v b H V t b n M 8 L 0 l 0 Z W 1 Q Y X R o P j w v S X R l b U x v Y 2 F 0 a W 9 u P j x T d G F i b G V F b n R y a W V z I C 8 + P C 9 J d G V t P j x J d G V t P j x J d G V t T G 9 j Y X R p b 2 4 + P E l 0 Z W 1 U e X B l P k Z v c m 1 1 b G E 8 L 0 l 0 Z W 1 U e X B l P j x J d G V t U G F 0 a D 5 T Z W N 0 a W 9 u M S 9 N R 0 5 S R U d B J T I w U E V S U 0 9 O R E F Z U y 9 V b n B p d m 9 0 Z W Q l M j B D b 2 x 1 b W 5 z P C 9 J d G V t U G F 0 a D 4 8 L 0 l 0 Z W 1 M b 2 N h d G l v b j 4 8 U 3 R h Y m x l R W 5 0 c m l l c y A v P j w v S X R l b T 4 8 S X R l b T 4 8 S X R l b U x v Y 2 F 0 a W 9 u P j x J d G V t V H l w Z T 5 G b 3 J t d W x h P C 9 J d G V t V H l w Z T 4 8 S X R l b V B h d G g + U 2 V j d G l v b j E v T U d O U k V H Q S 9 V b n B p d m 9 0 Z W Q l M j B D b 2 x 1 b W 5 z P C 9 J d G V t U G F 0 a D 4 8 L 0 l 0 Z W 1 M b 2 N h d G l v b j 4 8 U 3 R h Y m x l R W 5 0 c m l l c y A v P j w v S X R l b T 4 8 S X R l b T 4 8 S X R l b U x v Y 2 F 0 a W 9 u P j x J d G V t V H l w Z T 5 G b 3 J t d W x h P C 9 J d G V t V H l w Z T 4 8 S X R l b V B h d G g + U 2 V j d G l v b j E v T U d O U k V H Q S 9 S Z W 5 h b W V k J T I w Q 2 9 s d W 1 u c z w v S X R l b V B h d G g + P C 9 J d G V t T G 9 j Y X R p b 2 4 + P F N 0 Y W J s Z U V u d H J p Z X M g L z 4 8 L 0 l 0 Z W 0 + P C 9 J d G V t c z 4 8 L 0 x v Y 2 F s U G F j a 2 F n Z U 1 l d G F k Y X R h R m l s Z T 4 W A A A A U E s F B g A A A A A A A A A A A A A A A A A A A A A A A C Y B A A A B A A A A 0 I y d 3 w E V 0 R G M e g D A T 8 K X 6 w E A A A D / M h o c b K J 4 R 4 o Y Z g 1 x U p U m A A A A A A I A A A A A A B B m A A A A A Q A A I A A A A C n S J s L / I F n c J P Q L F N b + p 1 j J O 0 k / K u p 3 g 1 j y X t G f b F 3 a A A A A A A 6 A A A A A A g A A I A A A A H F 9 H 8 x e H j B X 2 k 9 A W g 7 a r A K L Q U h U 7 L t F z / / R K u 8 S 1 r x M U A A A A O l d l P u R f S y L f 6 c s y v N c E J X 9 U z q t a H s r p Q W 0 v 5 o P s I / l m q 6 I W d x X C w 7 V c m Z P R B U L z L A c B N A 0 w W n 0 8 C V l e K L V N M K X i 8 a G w 7 v i x 1 k + u N k M p Y w D Q A A A A O I K l K W W w I h 0 V V s J g b I 8 X E z / 1 6 B L k L S D c v 4 j m + 7 w X k c d Q 4 g P 2 o J e U C w r h v h U z P 2 5 s d Z T 4 K m H x 7 d / T I k E s X w Y a O M = < / D a t a M a s h u p > 
</file>

<file path=customXml/itemProps1.xml><?xml version="1.0" encoding="utf-8"?>
<ds:datastoreItem xmlns:ds="http://schemas.openxmlformats.org/officeDocument/2006/customXml" ds:itemID="{AC6F4D1E-269E-4B03-801B-0819436CAE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Job Card Utilization rate</vt:lpstr>
      <vt:lpstr>JCU RATE DASHBOARD</vt:lpstr>
      <vt:lpstr>Worker Participation</vt:lpstr>
      <vt:lpstr>WP RATE BOARD</vt:lpstr>
      <vt:lpstr>Inclusivity in MGNREGA Employm</vt:lpstr>
      <vt:lpstr>IN RATE BOARD</vt:lpstr>
      <vt:lpstr>Wage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Anila Kathi</dc:creator>
  <cp:lastModifiedBy>Anila Kathi</cp:lastModifiedBy>
  <dcterms:created xsi:type="dcterms:W3CDTF">2025-03-02T08:41:22Z</dcterms:created>
  <dcterms:modified xsi:type="dcterms:W3CDTF">2025-03-07T11:47:55Z</dcterms:modified>
</cp:coreProperties>
</file>