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iweiranqi\aiweishuju\综合能源调研\"/>
    </mc:Choice>
  </mc:AlternateContent>
  <xr:revisionPtr revIDLastSave="0" documentId="13_ncr:1_{30ADBFF8-1CB9-441F-BE75-1D560E147193}" xr6:coauthVersionLast="47" xr6:coauthVersionMax="47" xr10:uidLastSave="{00000000-0000-0000-0000-000000000000}"/>
  <bookViews>
    <workbookView xWindow="-98" yWindow="-98" windowWidth="23236" windowHeight="13875" activeTab="3" xr2:uid="{00000000-000D-0000-FFFF-FFFF00000000}"/>
  </bookViews>
  <sheets>
    <sheet name="洛唯成本测算" sheetId="2" r:id="rId1"/>
    <sheet name="洛唯盈利&amp;参数 " sheetId="9" r:id="rId2"/>
    <sheet name="南墅成本测算 " sheetId="4" r:id="rId3"/>
    <sheet name="南墅盈利&amp;参数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9" l="1"/>
  <c r="B86" i="9" s="1"/>
  <c r="I2" i="8"/>
  <c r="I4" i="8"/>
  <c r="I5" i="8"/>
  <c r="I8" i="8"/>
  <c r="I9" i="8"/>
  <c r="I10" i="8"/>
  <c r="I11" i="8"/>
  <c r="I15" i="8"/>
  <c r="I16" i="8"/>
  <c r="I17" i="8"/>
  <c r="I19" i="8"/>
  <c r="I20" i="8"/>
  <c r="I6" i="8" s="1"/>
  <c r="I18" i="8" s="1"/>
  <c r="I21" i="8"/>
  <c r="I3" i="8" s="1"/>
  <c r="B2" i="9"/>
  <c r="C2" i="9"/>
  <c r="D2" i="9"/>
  <c r="E2" i="9"/>
  <c r="F2" i="9"/>
  <c r="G2" i="9"/>
  <c r="H2" i="9"/>
  <c r="I2" i="9"/>
  <c r="J2" i="9"/>
  <c r="K2" i="9"/>
  <c r="B4" i="9"/>
  <c r="C4" i="9"/>
  <c r="D4" i="9"/>
  <c r="E4" i="9"/>
  <c r="F4" i="9"/>
  <c r="G4" i="9"/>
  <c r="H4" i="9"/>
  <c r="I4" i="9"/>
  <c r="J4" i="9"/>
  <c r="K4" i="9"/>
  <c r="B5" i="9"/>
  <c r="C5" i="9"/>
  <c r="D5" i="9"/>
  <c r="E5" i="9"/>
  <c r="F5" i="9"/>
  <c r="G5" i="9"/>
  <c r="H5" i="9"/>
  <c r="I5" i="9"/>
  <c r="J5" i="9"/>
  <c r="K5" i="9"/>
  <c r="B8" i="9"/>
  <c r="C8" i="9"/>
  <c r="D8" i="9"/>
  <c r="E8" i="9"/>
  <c r="F8" i="9"/>
  <c r="G8" i="9"/>
  <c r="H8" i="9"/>
  <c r="I8" i="9"/>
  <c r="J8" i="9"/>
  <c r="K8" i="9"/>
  <c r="B9" i="9"/>
  <c r="C9" i="9"/>
  <c r="D9" i="9"/>
  <c r="E9" i="9"/>
  <c r="F9" i="9"/>
  <c r="G9" i="9"/>
  <c r="H9" i="9"/>
  <c r="I9" i="9"/>
  <c r="J9" i="9"/>
  <c r="K9" i="9"/>
  <c r="B10" i="9"/>
  <c r="C10" i="9"/>
  <c r="D10" i="9"/>
  <c r="E10" i="9"/>
  <c r="F10" i="9"/>
  <c r="G10" i="9"/>
  <c r="H10" i="9"/>
  <c r="I10" i="9"/>
  <c r="J10" i="9"/>
  <c r="K10" i="9"/>
  <c r="B11" i="9"/>
  <c r="C11" i="9"/>
  <c r="D11" i="9"/>
  <c r="E11" i="9"/>
  <c r="F11" i="9"/>
  <c r="G11" i="9"/>
  <c r="H11" i="9"/>
  <c r="I11" i="9"/>
  <c r="J11" i="9"/>
  <c r="K11" i="9"/>
  <c r="B17" i="9"/>
  <c r="C17" i="9"/>
  <c r="D17" i="9"/>
  <c r="E17" i="9"/>
  <c r="F17" i="9"/>
  <c r="G17" i="9"/>
  <c r="H17" i="9"/>
  <c r="I17" i="9"/>
  <c r="J17" i="9"/>
  <c r="K17" i="9"/>
  <c r="B19" i="9"/>
  <c r="B20" i="9" s="1"/>
  <c r="B7" i="9" s="1"/>
  <c r="C19" i="9"/>
  <c r="C21" i="9" s="1"/>
  <c r="C3" i="9" s="1"/>
  <c r="D19" i="9"/>
  <c r="D20" i="9" s="1"/>
  <c r="E19" i="9"/>
  <c r="E20" i="9" s="1"/>
  <c r="F19" i="9"/>
  <c r="F20" i="9" s="1"/>
  <c r="G19" i="9"/>
  <c r="H19" i="9"/>
  <c r="H21" i="9" s="1"/>
  <c r="H3" i="9" s="1"/>
  <c r="I19" i="9"/>
  <c r="I21" i="9" s="1"/>
  <c r="I3" i="9" s="1"/>
  <c r="J19" i="9"/>
  <c r="J21" i="9" s="1"/>
  <c r="J3" i="9" s="1"/>
  <c r="K19" i="9"/>
  <c r="K21" i="9" s="1"/>
  <c r="K3" i="9" s="1"/>
  <c r="G20" i="9"/>
  <c r="G6" i="9" s="1"/>
  <c r="G18" i="9" s="1"/>
  <c r="H20" i="9"/>
  <c r="H7" i="9" s="1"/>
  <c r="I20" i="9"/>
  <c r="I7" i="9" s="1"/>
  <c r="B21" i="9"/>
  <c r="B3" i="9" s="1"/>
  <c r="F21" i="9"/>
  <c r="F3" i="9" s="1"/>
  <c r="G21" i="9"/>
  <c r="G3" i="9" s="1"/>
  <c r="B77" i="9"/>
  <c r="B83" i="9"/>
  <c r="B84" i="9"/>
  <c r="B85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20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3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6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9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2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5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8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21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4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2" i="8"/>
  <c r="C2" i="8"/>
  <c r="D2" i="8"/>
  <c r="E2" i="8"/>
  <c r="F2" i="8"/>
  <c r="G2" i="8"/>
  <c r="H2" i="8"/>
  <c r="J2" i="8"/>
  <c r="K2" i="8"/>
  <c r="B4" i="8"/>
  <c r="C4" i="8"/>
  <c r="D4" i="8"/>
  <c r="E4" i="8"/>
  <c r="F4" i="8"/>
  <c r="G4" i="8"/>
  <c r="H4" i="8"/>
  <c r="J4" i="8"/>
  <c r="K4" i="8"/>
  <c r="B5" i="8"/>
  <c r="C5" i="8"/>
  <c r="D5" i="8"/>
  <c r="E5" i="8"/>
  <c r="F5" i="8"/>
  <c r="G5" i="8"/>
  <c r="H5" i="8"/>
  <c r="J5" i="8"/>
  <c r="K5" i="8"/>
  <c r="B8" i="8"/>
  <c r="C8" i="8"/>
  <c r="D8" i="8"/>
  <c r="E8" i="8"/>
  <c r="F8" i="8"/>
  <c r="G8" i="8"/>
  <c r="H8" i="8"/>
  <c r="J8" i="8"/>
  <c r="K8" i="8"/>
  <c r="B9" i="8"/>
  <c r="C9" i="8"/>
  <c r="D9" i="8"/>
  <c r="E9" i="8"/>
  <c r="F9" i="8"/>
  <c r="G9" i="8"/>
  <c r="H9" i="8"/>
  <c r="J9" i="8"/>
  <c r="K9" i="8"/>
  <c r="B10" i="8"/>
  <c r="C10" i="8"/>
  <c r="D10" i="8"/>
  <c r="E10" i="8"/>
  <c r="F10" i="8"/>
  <c r="G10" i="8"/>
  <c r="H10" i="8"/>
  <c r="J10" i="8"/>
  <c r="K10" i="8"/>
  <c r="B11" i="8"/>
  <c r="C11" i="8"/>
  <c r="D11" i="8"/>
  <c r="E11" i="8"/>
  <c r="F11" i="8"/>
  <c r="G11" i="8"/>
  <c r="H11" i="8"/>
  <c r="J11" i="8"/>
  <c r="K11" i="8"/>
  <c r="B17" i="8"/>
  <c r="C17" i="8"/>
  <c r="D17" i="8"/>
  <c r="E17" i="8"/>
  <c r="F17" i="8"/>
  <c r="G17" i="8"/>
  <c r="H17" i="8"/>
  <c r="J17" i="8"/>
  <c r="K17" i="8"/>
  <c r="B19" i="8"/>
  <c r="B20" i="8" s="1"/>
  <c r="C19" i="8"/>
  <c r="C21" i="8" s="1"/>
  <c r="C3" i="8" s="1"/>
  <c r="D19" i="8"/>
  <c r="D20" i="8" s="1"/>
  <c r="E19" i="8"/>
  <c r="E20" i="8" s="1"/>
  <c r="F19" i="8"/>
  <c r="F20" i="8" s="1"/>
  <c r="G19" i="8"/>
  <c r="G20" i="8" s="1"/>
  <c r="H19" i="8"/>
  <c r="H21" i="8" s="1"/>
  <c r="H3" i="8" s="1"/>
  <c r="J19" i="8"/>
  <c r="J21" i="8" s="1"/>
  <c r="J3" i="8" s="1"/>
  <c r="K19" i="8"/>
  <c r="K21" i="8" s="1"/>
  <c r="K3" i="8" s="1"/>
  <c r="B21" i="8"/>
  <c r="B3" i="8" s="1"/>
  <c r="F21" i="8"/>
  <c r="F3" i="8" s="1"/>
  <c r="B77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20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3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6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9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2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5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8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21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4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I2" i="4"/>
  <c r="I3" i="4"/>
  <c r="I4" i="4"/>
  <c r="I5" i="4"/>
  <c r="I14" i="4" s="1"/>
  <c r="I6" i="4"/>
  <c r="N6" i="4"/>
  <c r="I7" i="4"/>
  <c r="I8" i="4"/>
  <c r="I9" i="4"/>
  <c r="I10" i="4"/>
  <c r="I11" i="4"/>
  <c r="I12" i="4"/>
  <c r="I13" i="4"/>
  <c r="I15" i="4"/>
  <c r="I17" i="4" s="1"/>
  <c r="N4" i="4" s="1"/>
  <c r="I16" i="4"/>
  <c r="I18" i="4"/>
  <c r="I19" i="4"/>
  <c r="I20" i="4"/>
  <c r="I21" i="4"/>
  <c r="I22" i="4"/>
  <c r="I23" i="4"/>
  <c r="I29" i="4"/>
  <c r="I2" i="2"/>
  <c r="I3" i="2"/>
  <c r="I4" i="2"/>
  <c r="I5" i="2"/>
  <c r="I6" i="2"/>
  <c r="I14" i="2" s="1"/>
  <c r="N6" i="2"/>
  <c r="I7" i="2"/>
  <c r="I8" i="2"/>
  <c r="I9" i="2"/>
  <c r="I10" i="2"/>
  <c r="I11" i="2"/>
  <c r="I12" i="2"/>
  <c r="I13" i="2"/>
  <c r="I15" i="2"/>
  <c r="I17" i="2" s="1"/>
  <c r="N4" i="2" s="1"/>
  <c r="I16" i="2"/>
  <c r="I18" i="2"/>
  <c r="I19" i="2"/>
  <c r="I20" i="2"/>
  <c r="I21" i="2"/>
  <c r="I22" i="2"/>
  <c r="I23" i="2"/>
  <c r="I24" i="2" s="1"/>
  <c r="I29" i="2"/>
  <c r="N3" i="2" l="1"/>
  <c r="I27" i="2"/>
  <c r="I24" i="4"/>
  <c r="N3" i="4" s="1"/>
  <c r="I7" i="8"/>
  <c r="I13" i="8" s="1"/>
  <c r="C20" i="9"/>
  <c r="C6" i="9" s="1"/>
  <c r="C18" i="9" s="1"/>
  <c r="G7" i="9"/>
  <c r="D21" i="9"/>
  <c r="D3" i="9" s="1"/>
  <c r="F6" i="9"/>
  <c r="F18" i="9" s="1"/>
  <c r="F7" i="9"/>
  <c r="E6" i="9"/>
  <c r="E18" i="9" s="1"/>
  <c r="E7" i="9"/>
  <c r="H13" i="9"/>
  <c r="G13" i="9"/>
  <c r="D6" i="9"/>
  <c r="D18" i="9" s="1"/>
  <c r="D7" i="9"/>
  <c r="B6" i="9"/>
  <c r="E21" i="9"/>
  <c r="E3" i="9" s="1"/>
  <c r="C7" i="9"/>
  <c r="C13" i="9" s="1"/>
  <c r="K20" i="9"/>
  <c r="J20" i="9"/>
  <c r="I6" i="9"/>
  <c r="I18" i="9" s="1"/>
  <c r="H6" i="9"/>
  <c r="H18" i="9" s="1"/>
  <c r="B6" i="8"/>
  <c r="B18" i="8" s="1"/>
  <c r="B7" i="8"/>
  <c r="B13" i="8"/>
  <c r="B80" i="8" s="1"/>
  <c r="K20" i="8"/>
  <c r="K7" i="8" s="1"/>
  <c r="C20" i="8"/>
  <c r="C7" i="8" s="1"/>
  <c r="B87" i="8"/>
  <c r="B88" i="8"/>
  <c r="B91" i="8"/>
  <c r="B12" i="8"/>
  <c r="B89" i="8"/>
  <c r="B90" i="8"/>
  <c r="B78" i="8"/>
  <c r="B79" i="8"/>
  <c r="B83" i="8"/>
  <c r="B81" i="8"/>
  <c r="B84" i="8"/>
  <c r="B92" i="8"/>
  <c r="B85" i="8"/>
  <c r="B86" i="8"/>
  <c r="F6" i="8"/>
  <c r="F18" i="8" s="1"/>
  <c r="F7" i="8"/>
  <c r="E6" i="8"/>
  <c r="E18" i="8" s="1"/>
  <c r="E7" i="8"/>
  <c r="G6" i="8"/>
  <c r="G18" i="8" s="1"/>
  <c r="G7" i="8"/>
  <c r="D6" i="8"/>
  <c r="D18" i="8" s="1"/>
  <c r="D7" i="8"/>
  <c r="G21" i="8"/>
  <c r="G3" i="8" s="1"/>
  <c r="G13" i="8" s="1"/>
  <c r="C6" i="8"/>
  <c r="C18" i="8" s="1"/>
  <c r="E21" i="8"/>
  <c r="E3" i="8" s="1"/>
  <c r="D21" i="8"/>
  <c r="D3" i="8" s="1"/>
  <c r="K6" i="8"/>
  <c r="K18" i="8" s="1"/>
  <c r="J20" i="8"/>
  <c r="H20" i="8"/>
  <c r="N2" i="4"/>
  <c r="I25" i="4"/>
  <c r="I26" i="4"/>
  <c r="I27" i="4"/>
  <c r="N2" i="2"/>
  <c r="I25" i="2"/>
  <c r="I26" i="2"/>
  <c r="I12" i="8" l="1"/>
  <c r="I14" i="8"/>
  <c r="D13" i="9"/>
  <c r="C12" i="9"/>
  <c r="B122" i="9"/>
  <c r="B121" i="9"/>
  <c r="B123" i="9"/>
  <c r="B124" i="9"/>
  <c r="B125" i="9"/>
  <c r="C14" i="9"/>
  <c r="J7" i="9"/>
  <c r="J6" i="9"/>
  <c r="D12" i="9"/>
  <c r="B166" i="9"/>
  <c r="B164" i="9"/>
  <c r="B165" i="9"/>
  <c r="B167" i="9"/>
  <c r="B168" i="9"/>
  <c r="D14" i="9"/>
  <c r="B18" i="9"/>
  <c r="H14" i="9"/>
  <c r="B337" i="9"/>
  <c r="B338" i="9"/>
  <c r="B340" i="9"/>
  <c r="B339" i="9"/>
  <c r="H12" i="9"/>
  <c r="B336" i="9"/>
  <c r="K7" i="9"/>
  <c r="K6" i="9"/>
  <c r="E13" i="9"/>
  <c r="I13" i="9"/>
  <c r="F13" i="9"/>
  <c r="B293" i="9"/>
  <c r="B295" i="9"/>
  <c r="B294" i="9"/>
  <c r="B296" i="9"/>
  <c r="G14" i="9"/>
  <c r="B297" i="9"/>
  <c r="G12" i="9"/>
  <c r="B15" i="8"/>
  <c r="B14" i="8"/>
  <c r="K13" i="8"/>
  <c r="E13" i="8"/>
  <c r="B214" i="8" s="1"/>
  <c r="B82" i="8"/>
  <c r="B293" i="8"/>
  <c r="B307" i="8"/>
  <c r="B297" i="8"/>
  <c r="B294" i="8"/>
  <c r="B295" i="8"/>
  <c r="B298" i="8"/>
  <c r="B296" i="8"/>
  <c r="B299" i="8"/>
  <c r="G12" i="8"/>
  <c r="B300" i="8"/>
  <c r="B302" i="8"/>
  <c r="B303" i="8"/>
  <c r="B304" i="8"/>
  <c r="B305" i="8"/>
  <c r="B301" i="8"/>
  <c r="G14" i="8"/>
  <c r="B306" i="8"/>
  <c r="B219" i="8"/>
  <c r="B220" i="8"/>
  <c r="B210" i="8"/>
  <c r="B207" i="8"/>
  <c r="B221" i="8"/>
  <c r="B208" i="8"/>
  <c r="B211" i="8"/>
  <c r="B212" i="8"/>
  <c r="E12" i="8"/>
  <c r="B215" i="8"/>
  <c r="E14" i="8"/>
  <c r="B217" i="8"/>
  <c r="B218" i="8"/>
  <c r="B209" i="8"/>
  <c r="C13" i="8"/>
  <c r="F13" i="8"/>
  <c r="B16" i="8"/>
  <c r="B469" i="8"/>
  <c r="B470" i="8"/>
  <c r="B471" i="8"/>
  <c r="K14" i="8"/>
  <c r="B472" i="8"/>
  <c r="B474" i="8"/>
  <c r="B475" i="8"/>
  <c r="B476" i="8"/>
  <c r="B478" i="8"/>
  <c r="B473" i="8"/>
  <c r="B465" i="8"/>
  <c r="B479" i="8"/>
  <c r="K12" i="8"/>
  <c r="B466" i="8"/>
  <c r="B467" i="8"/>
  <c r="B477" i="8"/>
  <c r="B468" i="8"/>
  <c r="H7" i="8"/>
  <c r="H6" i="8"/>
  <c r="J7" i="8"/>
  <c r="J6" i="8"/>
  <c r="D13" i="8"/>
  <c r="I28" i="4"/>
  <c r="I28" i="2"/>
  <c r="B208" i="9" l="1"/>
  <c r="B209" i="9"/>
  <c r="B210" i="9"/>
  <c r="E12" i="9"/>
  <c r="B207" i="9"/>
  <c r="B211" i="9"/>
  <c r="E14" i="9"/>
  <c r="K18" i="9"/>
  <c r="K13" i="9"/>
  <c r="D16" i="9"/>
  <c r="D15" i="9"/>
  <c r="H16" i="9"/>
  <c r="H15" i="9"/>
  <c r="B252" i="9"/>
  <c r="B253" i="9"/>
  <c r="B250" i="9"/>
  <c r="B254" i="9"/>
  <c r="B251" i="9"/>
  <c r="F12" i="9"/>
  <c r="F14" i="9"/>
  <c r="J18" i="9"/>
  <c r="J13" i="9"/>
  <c r="B12" i="9"/>
  <c r="B78" i="9"/>
  <c r="B79" i="9"/>
  <c r="B80" i="9"/>
  <c r="B14" i="9"/>
  <c r="B81" i="9"/>
  <c r="B82" i="9"/>
  <c r="G16" i="9"/>
  <c r="G15" i="9"/>
  <c r="C16" i="9"/>
  <c r="C15" i="9"/>
  <c r="B381" i="9"/>
  <c r="I14" i="9"/>
  <c r="B382" i="9"/>
  <c r="B383" i="9"/>
  <c r="B380" i="9"/>
  <c r="I12" i="9"/>
  <c r="B379" i="9"/>
  <c r="B216" i="8"/>
  <c r="B213" i="8"/>
  <c r="K16" i="8"/>
  <c r="K15" i="8"/>
  <c r="B131" i="8"/>
  <c r="B135" i="8"/>
  <c r="B132" i="8"/>
  <c r="B133" i="8"/>
  <c r="C12" i="8"/>
  <c r="B134" i="8"/>
  <c r="B121" i="8"/>
  <c r="B123" i="8"/>
  <c r="B124" i="8"/>
  <c r="C14" i="8"/>
  <c r="B126" i="8"/>
  <c r="B127" i="8"/>
  <c r="B122" i="8"/>
  <c r="B128" i="8"/>
  <c r="B129" i="8"/>
  <c r="B125" i="8"/>
  <c r="B130" i="8"/>
  <c r="E16" i="8"/>
  <c r="E15" i="8"/>
  <c r="B175" i="8"/>
  <c r="B165" i="8"/>
  <c r="B176" i="8"/>
  <c r="D12" i="8"/>
  <c r="B177" i="8"/>
  <c r="B166" i="8"/>
  <c r="B164" i="8"/>
  <c r="B178" i="8"/>
  <c r="B167" i="8"/>
  <c r="B168" i="8"/>
  <c r="B170" i="8"/>
  <c r="D14" i="8"/>
  <c r="B171" i="8"/>
  <c r="B172" i="8"/>
  <c r="B169" i="8"/>
  <c r="B173" i="8"/>
  <c r="B174" i="8"/>
  <c r="B263" i="8"/>
  <c r="B250" i="8"/>
  <c r="B264" i="8"/>
  <c r="B251" i="8"/>
  <c r="B252" i="8"/>
  <c r="B253" i="8"/>
  <c r="F12" i="8"/>
  <c r="B255" i="8"/>
  <c r="B256" i="8"/>
  <c r="B257" i="8"/>
  <c r="B258" i="8"/>
  <c r="B259" i="8"/>
  <c r="B260" i="8"/>
  <c r="B261" i="8"/>
  <c r="F14" i="8"/>
  <c r="B262" i="8"/>
  <c r="B254" i="8"/>
  <c r="B381" i="8"/>
  <c r="B382" i="8"/>
  <c r="B383" i="8"/>
  <c r="B384" i="8"/>
  <c r="B385" i="8"/>
  <c r="B387" i="8"/>
  <c r="B388" i="8"/>
  <c r="B390" i="8"/>
  <c r="B391" i="8"/>
  <c r="B379" i="8"/>
  <c r="B392" i="8"/>
  <c r="B389" i="8"/>
  <c r="B393" i="8"/>
  <c r="B386" i="8"/>
  <c r="B380" i="8"/>
  <c r="J18" i="8"/>
  <c r="J13" i="8"/>
  <c r="H18" i="8"/>
  <c r="H13" i="8"/>
  <c r="G16" i="8"/>
  <c r="G15" i="8"/>
  <c r="N5" i="4"/>
  <c r="I30" i="4"/>
  <c r="N5" i="2"/>
  <c r="I30" i="2"/>
  <c r="I16" i="9" l="1"/>
  <c r="I15" i="9"/>
  <c r="B16" i="9"/>
  <c r="B15" i="9"/>
  <c r="E16" i="9"/>
  <c r="E15" i="9"/>
  <c r="F16" i="9"/>
  <c r="F15" i="9"/>
  <c r="B469" i="9"/>
  <c r="K14" i="9"/>
  <c r="B465" i="9"/>
  <c r="K12" i="9"/>
  <c r="B466" i="9"/>
  <c r="B467" i="9"/>
  <c r="B468" i="9"/>
  <c r="B425" i="9"/>
  <c r="B426" i="9"/>
  <c r="J14" i="9"/>
  <c r="B423" i="9"/>
  <c r="J12" i="9"/>
  <c r="B424" i="9"/>
  <c r="B422" i="9"/>
  <c r="D16" i="8"/>
  <c r="D15" i="8"/>
  <c r="C16" i="8"/>
  <c r="C15" i="8"/>
  <c r="H14" i="8"/>
  <c r="B337" i="8"/>
  <c r="B338" i="8"/>
  <c r="B339" i="8"/>
  <c r="B340" i="8"/>
  <c r="B341" i="8"/>
  <c r="B343" i="8"/>
  <c r="B344" i="8"/>
  <c r="B345" i="8"/>
  <c r="B346" i="8"/>
  <c r="B347" i="8"/>
  <c r="B348" i="8"/>
  <c r="B349" i="8"/>
  <c r="B342" i="8"/>
  <c r="B336" i="8"/>
  <c r="B350" i="8"/>
  <c r="H12" i="8"/>
  <c r="F15" i="8"/>
  <c r="F16" i="8"/>
  <c r="B425" i="8"/>
  <c r="B429" i="8"/>
  <c r="B426" i="8"/>
  <c r="J14" i="8"/>
  <c r="B427" i="8"/>
  <c r="B430" i="8"/>
  <c r="B433" i="8"/>
  <c r="B428" i="8"/>
  <c r="B431" i="8"/>
  <c r="B432" i="8"/>
  <c r="B434" i="8"/>
  <c r="B423" i="8"/>
  <c r="J12" i="8"/>
  <c r="B435" i="8"/>
  <c r="B422" i="8"/>
  <c r="B436" i="8"/>
  <c r="B424" i="8"/>
  <c r="N9" i="4"/>
  <c r="I31" i="4"/>
  <c r="N7" i="4" s="1"/>
  <c r="I32" i="4"/>
  <c r="N9" i="2"/>
  <c r="I31" i="2"/>
  <c r="N7" i="2" s="1"/>
  <c r="I32" i="2"/>
  <c r="K16" i="9" l="1"/>
  <c r="K15" i="9"/>
  <c r="J16" i="9"/>
  <c r="J15" i="9"/>
  <c r="H16" i="8"/>
  <c r="H15" i="8"/>
  <c r="J16" i="8"/>
  <c r="J15" i="8"/>
  <c r="N17" i="4"/>
  <c r="N10" i="4"/>
  <c r="N16" i="4"/>
  <c r="N18" i="4"/>
  <c r="I33" i="4"/>
  <c r="N11" i="4" s="1"/>
  <c r="N14" i="4"/>
  <c r="N13" i="4"/>
  <c r="N15" i="4"/>
  <c r="N17" i="2"/>
  <c r="I33" i="2"/>
  <c r="N11" i="2" s="1"/>
  <c r="N13" i="2"/>
  <c r="N10" i="2"/>
  <c r="N18" i="2"/>
  <c r="N14" i="2"/>
  <c r="N16" i="2"/>
  <c r="N15" i="2"/>
</calcChain>
</file>

<file path=xl/sharedStrings.xml><?xml version="1.0" encoding="utf-8"?>
<sst xmlns="http://schemas.openxmlformats.org/spreadsheetml/2006/main" count="1718" uniqueCount="396">
  <si>
    <t>位</t>
  </si>
  <si>
    <t>显示小数位（导出时无效）</t>
  </si>
  <si>
    <t>round_digits</t>
  </si>
  <si>
    <t>比例</t>
  </si>
  <si>
    <t>增值税率（仅用于含税参考）</t>
  </si>
  <si>
    <t>vat_rate</t>
  </si>
  <si>
    <t>预备费比例</t>
  </si>
  <si>
    <t>contingency_ratio</t>
  </si>
  <si>
    <t>TRUE/FALSE</t>
  </si>
  <si>
    <t>站内设计是否含土地</t>
  </si>
  <si>
    <t>include_land_in_station_design_base</t>
  </si>
  <si>
    <t>万元/处</t>
  </si>
  <si>
    <t>单处穿越费用</t>
  </si>
  <si>
    <t>crossing_cost_wan_each</t>
  </si>
  <si>
    <t>处</t>
  </si>
  <si>
    <t>过路/桁架等穿越数量</t>
  </si>
  <si>
    <t>road_crossings_count</t>
  </si>
  <si>
    <t>管网施工图设计费率</t>
  </si>
  <si>
    <t>steamline_design_ratio</t>
  </si>
  <si>
    <t>站内施工图设计费率</t>
  </si>
  <si>
    <t>station_design_ratio</t>
  </si>
  <si>
    <t>可研/申请报告费率</t>
  </si>
  <si>
    <t>feasibility_ratio</t>
  </si>
  <si>
    <t>万元</t>
  </si>
  <si>
    <t>报建及三评等行政</t>
  </si>
  <si>
    <t>admin_approvals_misc_wan</t>
  </si>
  <si>
    <t>在线电导/含油监测+控制</t>
  </si>
  <si>
    <t>cond_monitoring_cost_wan</t>
  </si>
  <si>
    <t>抛光/油水分离</t>
  </si>
  <si>
    <t>cond_polisher_cost_wan</t>
  </si>
  <si>
    <t>闪蒸罐</t>
  </si>
  <si>
    <t>cond_flash_tank_cost_wan</t>
  </si>
  <si>
    <t>万元/座</t>
  </si>
  <si>
    <t>回水泵站单站费用</t>
  </si>
  <si>
    <t>cond_pumpstation_cost_wan</t>
  </si>
  <si>
    <t>座</t>
  </si>
  <si>
    <t>回水泵站数量</t>
  </si>
  <si>
    <t>cond_pumpstations_count</t>
  </si>
  <si>
    <t>元/m</t>
  </si>
  <si>
    <t>回水干线单价（DN40–65含保温）</t>
  </si>
  <si>
    <t>cond_return_unit_yuan_per_m</t>
  </si>
  <si>
    <t>m</t>
  </si>
  <si>
    <t>回水干线长度（给值则用长度口径）</t>
  </si>
  <si>
    <t>cond_return_length_m</t>
  </si>
  <si>
    <t>仅作含税参考</t>
  </si>
  <si>
    <t>初始投资合计(含税, VAT=13%)</t>
  </si>
  <si>
    <t>总计</t>
  </si>
  <si>
    <t>回水系统总价口径</t>
  </si>
  <si>
    <t>steam_condensate_system_cost_wan</t>
  </si>
  <si>
    <t>初始投资合计(不含税)</t>
  </si>
  <si>
    <t>PRV减压站（主/副+旁通+安全）</t>
  </si>
  <si>
    <t>steam_prv_station_cost_wan</t>
  </si>
  <si>
    <t>按不含预备费小计计取</t>
  </si>
  <si>
    <t>预备费</t>
  </si>
  <si>
    <t>蒸汽计量（温压补偿/远传）</t>
  </si>
  <si>
    <t>steam_metering_cost_wan</t>
  </si>
  <si>
    <t>站内+接入+外线+设计+行政</t>
  </si>
  <si>
    <t>不含预备费小计</t>
  </si>
  <si>
    <t>阀室/阀井（不含计量/PRV）</t>
  </si>
  <si>
    <t>steam_valve_chamber_cost_wan</t>
  </si>
  <si>
    <t>行政</t>
  </si>
  <si>
    <t>蒸汽管安装+土建（split）</t>
  </si>
  <si>
    <t>steam_pipe_installcivil_yuan_per_m</t>
  </si>
  <si>
    <t>小计</t>
  </si>
  <si>
    <t>设计费</t>
  </si>
  <si>
    <t>蒸汽管材料单价（split）</t>
  </si>
  <si>
    <t>steam_pipe_material_yuan_per_m</t>
  </si>
  <si>
    <t>管网施工图设计费(2.5%)</t>
  </si>
  <si>
    <t>蒸汽管综合单价（combined）</t>
  </si>
  <si>
    <t>steam_pipe_unit_yuan_per_m</t>
  </si>
  <si>
    <t>站内施工图设计费(2.5%)</t>
  </si>
  <si>
    <t>split</t>
  </si>
  <si>
    <t>管网造价口径（combined/split）</t>
  </si>
  <si>
    <t>pipe_cost_mode</t>
  </si>
  <si>
    <t>基数×费率</t>
  </si>
  <si>
    <t>可研/申请报告费(0.5%)</t>
  </si>
  <si>
    <t>蒸汽管网长度</t>
  </si>
  <si>
    <t>steam_pipe_length_m</t>
  </si>
  <si>
    <t>蒸汽外线</t>
  </si>
  <si>
    <t>PRMS/计量调压柜</t>
  </si>
  <si>
    <t>gas_station_cost_wan</t>
  </si>
  <si>
    <t>数量×单价</t>
  </si>
  <si>
    <t>过路桁架等</t>
  </si>
  <si>
    <t>接入燃气管综合单价</t>
  </si>
  <si>
    <t>gas_pipe_unit_yuan_per_m</t>
  </si>
  <si>
    <t>给长度→用长度口径；否则总价口径</t>
  </si>
  <si>
    <t>回水系统</t>
  </si>
  <si>
    <t>接入燃气管长度</t>
  </si>
  <si>
    <t>gas_pipe_length_m</t>
  </si>
  <si>
    <t>主/副并联+旁通+安全</t>
  </si>
  <si>
    <t>PRV减压站</t>
  </si>
  <si>
    <t>万元/蒸吨</t>
  </si>
  <si>
    <t>冷凝/节能器按蒸吨计价</t>
  </si>
  <si>
    <t>economizer_unit_wan_per_ton</t>
  </si>
  <si>
    <t>温压补偿+远传</t>
  </si>
  <si>
    <t>蒸汽计量</t>
  </si>
  <si>
    <t>冷凝/节能器总价（若按吨计价则留空）</t>
  </si>
  <si>
    <t>economizer_cost_wan</t>
  </si>
  <si>
    <t>阀室</t>
  </si>
  <si>
    <t>可燃气体报警/事故通风/声学</t>
  </si>
  <si>
    <t>safety_env_cost_wan</t>
  </si>
  <si>
    <t>占比-预备费(%)</t>
  </si>
  <si>
    <t>combined/split 自动切换</t>
  </si>
  <si>
    <t>蒸汽管网本体</t>
  </si>
  <si>
    <t>DCS/PLC联控与上位</t>
  </si>
  <si>
    <t>dcs_plc_cost_wan</t>
  </si>
  <si>
    <t>占比-行政(%)</t>
  </si>
  <si>
    <t>燃气接入</t>
  </si>
  <si>
    <t>场内道路/围挡</t>
  </si>
  <si>
    <t>yard_road_fence_wan</t>
  </si>
  <si>
    <t>占比-设计费(%)</t>
  </si>
  <si>
    <t>环保在线/低氮等</t>
  </si>
  <si>
    <t>env_facility_cost_wan</t>
  </si>
  <si>
    <t>占比-燃气接入(%)</t>
  </si>
  <si>
    <t>长度×综合单价/1万</t>
  </si>
  <si>
    <t>燃气管道接入</t>
  </si>
  <si>
    <t>水电接入打包值（若三子项均空则按50/35/15分摊）</t>
  </si>
  <si>
    <t>power_water_access_cost_wan</t>
  </si>
  <si>
    <t>占比-蒸汽外线(%)</t>
  </si>
  <si>
    <t>站内</t>
  </si>
  <si>
    <t>站内电力改造/就地箱/电缆</t>
  </si>
  <si>
    <t>station_rewire_wan</t>
  </si>
  <si>
    <t>占比-站内(%)</t>
  </si>
  <si>
    <t>场内道路围挡</t>
  </si>
  <si>
    <t>水处理与给水（原水箱/软化/RO/除氧/加药在线）</t>
  </si>
  <si>
    <t>water_treatment_wan</t>
  </si>
  <si>
    <t>—— 占比（以含预备费不含税合计为分母） ——</t>
  </si>
  <si>
    <t>安环与通风</t>
  </si>
  <si>
    <t>MCC/配电/UPS/接地/桥架</t>
  </si>
  <si>
    <t>power_MCC_UPS_wan</t>
  </si>
  <si>
    <t>优先按吨计价</t>
  </si>
  <si>
    <t>冷凝/节能器</t>
  </si>
  <si>
    <t>烟囱费用</t>
  </si>
  <si>
    <t>chimney_cost_wan</t>
  </si>
  <si>
    <t>DCS/PLC联控</t>
  </si>
  <si>
    <t>元/m²</t>
  </si>
  <si>
    <t>建安单价</t>
  </si>
  <si>
    <t>building_cost_yuan_per_m2</t>
  </si>
  <si>
    <t>环保设施</t>
  </si>
  <si>
    <t>m²</t>
  </si>
  <si>
    <t>站房建筑面积（留空=自适应建议）</t>
  </si>
  <si>
    <t>building_area_m2</t>
  </si>
  <si>
    <t>——</t>
  </si>
  <si>
    <t>设备费×安装比例</t>
  </si>
  <si>
    <t>设备安装调试</t>
  </si>
  <si>
    <t>万元/亩</t>
  </si>
  <si>
    <t>土地单价</t>
  </si>
  <si>
    <t>land_price_wan_per_mu</t>
  </si>
  <si>
    <t>总蒸吨×单价</t>
  </si>
  <si>
    <t>锅炉及辅机采购</t>
  </si>
  <si>
    <t>亩</t>
  </si>
  <si>
    <t>用地面积</t>
  </si>
  <si>
    <t>land_area_mu</t>
  </si>
  <si>
    <t>站内电力改造</t>
  </si>
  <si>
    <t>安装调试费比例</t>
  </si>
  <si>
    <t>install_ratio</t>
  </si>
  <si>
    <t>设计费合计</t>
  </si>
  <si>
    <t>原水箱/软化/RO/热力除氧/给水箱/加药在线</t>
  </si>
  <si>
    <t>水处理与给水</t>
  </si>
  <si>
    <t>锅炉及辅机单价</t>
  </si>
  <si>
    <t>boiler_unit_price_wan_per_ton</t>
  </si>
  <si>
    <t>燃气接入小计</t>
  </si>
  <si>
    <t>MCC/配电/UPS等</t>
  </si>
  <si>
    <t>台</t>
  </si>
  <si>
    <t>备用台数</t>
  </si>
  <si>
    <t>boiler_backup_count</t>
  </si>
  <si>
    <t>蒸汽外线小计</t>
  </si>
  <si>
    <t>自适应面积：MAX(200,9×单台蒸吨×MAX(1,运行+备))；+烟囱</t>
  </si>
  <si>
    <t>土建及烟囱</t>
  </si>
  <si>
    <t>运行台数N</t>
  </si>
  <si>
    <t>boiler_run_count</t>
  </si>
  <si>
    <t>站内小计</t>
  </si>
  <si>
    <t>土地取得费用</t>
  </si>
  <si>
    <t>t/h</t>
  </si>
  <si>
    <t>单台锅炉额定蒸发量</t>
  </si>
  <si>
    <t>boiler_tonnage_each_tph</t>
  </si>
  <si>
    <t>备注</t>
  </si>
  <si>
    <t>金额（万元）/占比</t>
  </si>
  <si>
    <t>项目</t>
  </si>
  <si>
    <t>金额（万元）</t>
  </si>
  <si>
    <t>子项</t>
  </si>
  <si>
    <t>分类</t>
  </si>
  <si>
    <t>单位/说明</t>
  </si>
  <si>
    <t>值</t>
  </si>
  <si>
    <t>参数说明</t>
  </si>
  <si>
    <t>参数项</t>
  </si>
  <si>
    <t>如果烧蒸汽的燃气都以天然气形式卖出，则年利润为（万元）</t>
  </si>
  <si>
    <t>夜间保热成本（万元）</t>
  </si>
  <si>
    <t>回水系统年运维（万元）</t>
  </si>
  <si>
    <t>运维成本（万元）</t>
  </si>
  <si>
    <t>人工成本（万元）</t>
  </si>
  <si>
    <t>年水费成本（万元）</t>
  </si>
  <si>
    <t>年燃气成本（万元）</t>
  </si>
  <si>
    <t>回水阶梯降价合计（万元/年）</t>
  </si>
  <si>
    <t>回水系统年收益（万元）</t>
  </si>
  <si>
    <t>年收入（万元）</t>
  </si>
  <si>
    <t>总投资（万元）</t>
  </si>
  <si>
    <t>洛唯-12蒸吨/h-年9.0万</t>
  </si>
  <si>
    <t>洛唯-12蒸吨/h-年8.17万</t>
  </si>
  <si>
    <t>洛唯-12蒸吨/h-年7.33万</t>
  </si>
  <si>
    <t>洛唯-12蒸吨/h-年6.5万</t>
  </si>
  <si>
    <t>洛唯-12蒸吨/h-年5.67万</t>
  </si>
  <si>
    <t>洛唯-12蒸吨/h-年4.83万</t>
  </si>
  <si>
    <t>洛唯-12蒸吨/h-年4.0万</t>
  </si>
  <si>
    <t>洛唯-12蒸吨/h-年3.17万</t>
  </si>
  <si>
    <t>洛唯-12蒸吨/h-年2.33万</t>
  </si>
  <si>
    <t>洛唯-12蒸吨/h-年1.5万</t>
  </si>
  <si>
    <t>指标</t>
  </si>
  <si>
    <t>南墅污水厂-35蒸吨/h-年10.0万</t>
  </si>
  <si>
    <t>南墅污水厂-35蒸吨/h-年9.29万</t>
  </si>
  <si>
    <t>南墅污水厂-35蒸吨/h-年7.87万</t>
  </si>
  <si>
    <t>南墅污水厂-35蒸吨/h-年7.16万</t>
  </si>
  <si>
    <t>南墅污水厂-35蒸吨/h-年6.44万</t>
  </si>
  <si>
    <t>南墅污水厂-35蒸吨/h-年5.73万</t>
  </si>
  <si>
    <t>南墅污水厂-35蒸吨/h-年5.02万</t>
  </si>
  <si>
    <t>南墅污水厂-35蒸吨/h-年4.31万</t>
  </si>
  <si>
    <t>南墅污水厂-35蒸吨/h-年3.6万</t>
  </si>
  <si>
    <t>Year15</t>
  </si>
  <si>
    <t>Year14</t>
  </si>
  <si>
    <t>Year13</t>
  </si>
  <si>
    <t>Year12</t>
  </si>
  <si>
    <t>Year11</t>
  </si>
  <si>
    <t>Year10</t>
  </si>
  <si>
    <t>Year9</t>
  </si>
  <si>
    <t>Year8</t>
  </si>
  <si>
    <t>Year7</t>
  </si>
  <si>
    <t>Year6</t>
  </si>
  <si>
    <t>Year5</t>
  </si>
  <si>
    <t>Year4</t>
  </si>
  <si>
    <t>Year3</t>
  </si>
  <si>
    <t>Year2</t>
  </si>
  <si>
    <t>Year1</t>
  </si>
  <si>
    <t>Year0</t>
  </si>
  <si>
    <t>CF 情景10（隐藏）</t>
  </si>
  <si>
    <t>CF 情景9（隐藏）</t>
  </si>
  <si>
    <t>CF 情景8（隐藏）</t>
  </si>
  <si>
    <t>CF 情景7（隐藏）</t>
  </si>
  <si>
    <t>CF 情景6（隐藏）</t>
  </si>
  <si>
    <t>CF 情景5（隐藏）</t>
  </si>
  <si>
    <t>CF 情景4（隐藏）</t>
  </si>
  <si>
    <t>CF 情景3（隐藏）</t>
  </si>
  <si>
    <t>CF 情景2（隐藏）</t>
  </si>
  <si>
    <t>CF 情景1（隐藏）</t>
  </si>
  <si>
    <t>吨/年</t>
  </si>
  <si>
    <t>情景10 年蒸汽需求</t>
  </si>
  <si>
    <t>demand_s10</t>
  </si>
  <si>
    <t>情景9 年蒸汽需求</t>
  </si>
  <si>
    <t>demand_s9</t>
  </si>
  <si>
    <t>情景8 年蒸汽需求</t>
  </si>
  <si>
    <t>demand_s8</t>
  </si>
  <si>
    <t>情景7 年蒸汽需求</t>
  </si>
  <si>
    <t>demand_s7</t>
  </si>
  <si>
    <t>情景6 年蒸汽需求</t>
  </si>
  <si>
    <t>demand_s6</t>
  </si>
  <si>
    <t>情景5 年蒸汽需求</t>
  </si>
  <si>
    <t>demand_s5</t>
  </si>
  <si>
    <t>情景4 年蒸汽需求</t>
  </si>
  <si>
    <t>demand_s4</t>
  </si>
  <si>
    <t>情景3 年蒸汽需求</t>
  </si>
  <si>
    <t>demand_s3</t>
  </si>
  <si>
    <t>情景2 年蒸汽需求</t>
  </si>
  <si>
    <t>demand_s2</t>
  </si>
  <si>
    <t>情景1 年蒸汽需求</t>
  </si>
  <si>
    <t>demand_s1</t>
  </si>
  <si>
    <t>贴现率</t>
  </si>
  <si>
    <t>discount_rate</t>
  </si>
  <si>
    <t>年（0=不计）</t>
  </si>
  <si>
    <t>折旧年限</t>
  </si>
  <si>
    <t>depreciation_years</t>
  </si>
  <si>
    <t>0~1</t>
  </si>
  <si>
    <t>期末残值率（对总投）</t>
  </si>
  <si>
    <t>residual_ratio</t>
  </si>
  <si>
    <t>年</t>
  </si>
  <si>
    <t>项目年限</t>
  </si>
  <si>
    <t>project_years</t>
  </si>
  <si>
    <t>step/linear</t>
  </si>
  <si>
    <t>step</t>
  </si>
  <si>
    <t>降价模式</t>
  </si>
  <si>
    <t>rebate_mode</t>
  </si>
  <si>
    <t>降价基准起点</t>
  </si>
  <si>
    <t>rebate_baseline_fraction</t>
  </si>
  <si>
    <t>元/吨</t>
  </si>
  <si>
    <t>阶梯降价封顶</t>
  </si>
  <si>
    <t>rebate_cap_yuan_per_ton</t>
  </si>
  <si>
    <t>每+10个百分点降价</t>
  </si>
  <si>
    <t>rebate_per_10pct_yuan_per_ton</t>
  </si>
  <si>
    <t>启用回水阶梯降价</t>
  </si>
  <si>
    <t>enable_condensate_pricing</t>
  </si>
  <si>
    <t>8→1 barg 闪蒸近似比例</t>
  </si>
  <si>
    <t>flash_frac</t>
  </si>
  <si>
    <t>kJ/kg</t>
  </si>
  <si>
    <t>1 barg 汽化潜热</t>
  </si>
  <si>
    <t>hfg_kJ_per_kg</t>
  </si>
  <si>
    <t>kJ/kg/K</t>
  </si>
  <si>
    <t>水定压比热</t>
  </si>
  <si>
    <t>cp</t>
  </si>
  <si>
    <t>闪蒸可消纳比例</t>
  </si>
  <si>
    <t>flash_utilization</t>
  </si>
  <si>
    <t>MJ/Nm³</t>
  </si>
  <si>
    <t>天然气低位热值</t>
  </si>
  <si>
    <t>LHV</t>
  </si>
  <si>
    <t>等效锅炉效率（回水估算）</t>
  </si>
  <si>
    <t>eta</t>
  </si>
  <si>
    <t>药剂单价（折算/吨补水）</t>
  </si>
  <si>
    <t>chem_price_yuan_per_t_makeup</t>
  </si>
  <si>
    <t>污水价格</t>
  </si>
  <si>
    <t>wastewater_price_yuan_per_t</t>
  </si>
  <si>
    <t>原水价格</t>
  </si>
  <si>
    <t>water_price_yuan_per_t</t>
  </si>
  <si>
    <t>万元/年</t>
  </si>
  <si>
    <t>回水系统年运维</t>
  </si>
  <si>
    <t>condensate_opex_wan_per_year</t>
  </si>
  <si>
    <t>留空=不计</t>
  </si>
  <si>
    <t>闪蒸回压（barg）</t>
  </si>
  <si>
    <t>flash_to_barg</t>
  </si>
  <si>
    <t>回水后排污率</t>
  </si>
  <si>
    <t>blowdown_after</t>
  </si>
  <si>
    <t>回水前排污率</t>
  </si>
  <si>
    <t>blowdown_before</t>
  </si>
  <si>
    <t>°C</t>
  </si>
  <si>
    <t>原水温度</t>
  </si>
  <si>
    <t>makeup_temp_C</t>
  </si>
  <si>
    <t>除氧器温度</t>
  </si>
  <si>
    <t>deaerator_temp_C</t>
  </si>
  <si>
    <t>回水率</t>
  </si>
  <si>
    <t>condensate_return_fraction</t>
  </si>
  <si>
    <t>是否启用回水收益</t>
  </si>
  <si>
    <t>enable_condensate</t>
  </si>
  <si>
    <t>总投资（不含税）</t>
  </si>
  <si>
    <t>total_investment_wan</t>
  </si>
  <si>
    <t>夜间保热成本</t>
  </si>
  <si>
    <t>temp_maintenance</t>
  </si>
  <si>
    <t>人</t>
  </si>
  <si>
    <t>员工数</t>
  </si>
  <si>
    <t>num_workers</t>
  </si>
  <si>
    <t>元/人·年</t>
  </si>
  <si>
    <t>人工单价</t>
  </si>
  <si>
    <t>per_worker_paid</t>
  </si>
  <si>
    <t>运维费率（对总投）</t>
  </si>
  <si>
    <t>op_maintenance_ratio</t>
  </si>
  <si>
    <t>customer/plant</t>
  </si>
  <si>
    <t>customer</t>
  </si>
  <si>
    <t>计量口径</t>
  </si>
  <si>
    <t>meter_at</t>
  </si>
  <si>
    <t>管网损耗率</t>
  </si>
  <si>
    <t>network_loss_ratio</t>
  </si>
  <si>
    <t>Nm³/吨蒸汽</t>
  </si>
  <si>
    <t>单位蒸汽耗气</t>
  </si>
  <si>
    <t>gas_usage_per_ton_steam</t>
  </si>
  <si>
    <t>元/Nm³</t>
  </si>
  <si>
    <t>天然气价格</t>
  </si>
  <si>
    <t>gas_price</t>
  </si>
  <si>
    <t>元/吨蒸汽</t>
  </si>
  <si>
    <t>水费口径（每吨蒸汽）</t>
  </si>
  <si>
    <t>water_price</t>
  </si>
  <si>
    <t>蒸汽价格</t>
  </si>
  <si>
    <t>steam_price</t>
  </si>
  <si>
    <t>等效满载率</t>
  </si>
  <si>
    <t>steam_supply_ratio</t>
  </si>
  <si>
    <t>装机（t/h）</t>
  </si>
  <si>
    <t>hourly_steam_supply_tons</t>
  </si>
  <si>
    <t>（辅助）计：计费吨数</t>
  </si>
  <si>
    <t>（辅助）计：产出吨数</t>
  </si>
  <si>
    <t>（辅助）计：交付吨数</t>
  </si>
  <si>
    <t>项目NPV（万元）</t>
  </si>
  <si>
    <t>项目IRR（%）</t>
  </si>
  <si>
    <t>静态回收期（年）</t>
  </si>
  <si>
    <t>现金流利润（万元，不含折旧）</t>
  </si>
  <si>
    <t>年利润（万元，含折旧）</t>
  </si>
  <si>
    <t>南墅污水厂-35蒸吨/h-年8.58万</t>
  </si>
  <si>
    <t>Year40</t>
  </si>
  <si>
    <t>Year39</t>
  </si>
  <si>
    <t>Year38</t>
  </si>
  <si>
    <t>Year37</t>
  </si>
  <si>
    <t>Year36</t>
  </si>
  <si>
    <t>Year35</t>
  </si>
  <si>
    <t>Year34</t>
  </si>
  <si>
    <t>Year33</t>
  </si>
  <si>
    <t>Year32</t>
  </si>
  <si>
    <t>Year31</t>
  </si>
  <si>
    <t>Year30</t>
  </si>
  <si>
    <t>Year29</t>
  </si>
  <si>
    <t>Year28</t>
  </si>
  <si>
    <t>Year27</t>
  </si>
  <si>
    <t>Year26</t>
  </si>
  <si>
    <t>Year25</t>
  </si>
  <si>
    <t>Year24</t>
  </si>
  <si>
    <t>Year23</t>
  </si>
  <si>
    <t>Year22</t>
  </si>
  <si>
    <t>Year21</t>
  </si>
  <si>
    <t>Year20</t>
  </si>
  <si>
    <t>Year19</t>
  </si>
  <si>
    <t>Year18</t>
  </si>
  <si>
    <t>Year17</t>
  </si>
  <si>
    <t>Year16</t>
  </si>
  <si>
    <t>过路桁架等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</si>
</sst>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i/>
      <sz val="11"/>
      <color rgb="FF777777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6F3FF"/>
      </patternFill>
    </fill>
    <fill>
      <patternFill patternType="solid">
        <fgColor rgb="FFE6F2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" fontId="0" fillId="0" borderId="1" xfId="0" applyNumberFormat="1" applyBorder="1" applyAlignment="1">
      <alignment horizontal="right"/>
    </xf>
    <xf numFmtId="4" fontId="0" fillId="0" borderId="1" xfId="0" applyNumberFormat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E75A-3FD7-4EDD-B293-6BBBDF9BFC66}">
  <dimension ref="A1:O50"/>
  <sheetViews>
    <sheetView workbookViewId="0">
      <pane ySplit="1" topLeftCell="A20" activePane="bottomLeft" state="frozen"/>
      <selection pane="bottomLeft" activeCell="F43" sqref="F43"/>
    </sheetView>
  </sheetViews>
  <sheetFormatPr defaultRowHeight="13.9" x14ac:dyDescent="0.4"/>
  <cols>
    <col min="1" max="1" width="24.796875" customWidth="1"/>
    <col min="2" max="2" width="34" customWidth="1"/>
    <col min="3" max="3" width="18" customWidth="1"/>
    <col min="4" max="4" width="16" customWidth="1"/>
    <col min="7" max="7" width="12" customWidth="1"/>
    <col min="8" max="8" width="26" customWidth="1"/>
    <col min="9" max="9" width="18" customWidth="1"/>
    <col min="10" max="10" width="40" customWidth="1"/>
    <col min="13" max="13" width="30" customWidth="1"/>
    <col min="14" max="14" width="20" customWidth="1"/>
    <col min="15" max="15" width="36" customWidth="1"/>
  </cols>
  <sheetData>
    <row r="1" spans="1:15" x14ac:dyDescent="0.4">
      <c r="A1" s="5" t="s">
        <v>185</v>
      </c>
      <c r="B1" s="5" t="s">
        <v>184</v>
      </c>
      <c r="C1" s="5" t="s">
        <v>183</v>
      </c>
      <c r="D1" s="5" t="s">
        <v>182</v>
      </c>
      <c r="G1" s="5" t="s">
        <v>181</v>
      </c>
      <c r="H1" s="5" t="s">
        <v>180</v>
      </c>
      <c r="I1" s="5" t="s">
        <v>179</v>
      </c>
      <c r="J1" s="5" t="s">
        <v>176</v>
      </c>
      <c r="M1" s="4" t="s">
        <v>178</v>
      </c>
      <c r="N1" s="4" t="s">
        <v>177</v>
      </c>
      <c r="O1" s="4" t="s">
        <v>176</v>
      </c>
    </row>
    <row r="2" spans="1:15" x14ac:dyDescent="0.4">
      <c r="A2" s="1" t="s">
        <v>175</v>
      </c>
      <c r="B2" s="1" t="s">
        <v>174</v>
      </c>
      <c r="C2" s="1">
        <v>6</v>
      </c>
      <c r="D2" s="1" t="s">
        <v>173</v>
      </c>
      <c r="G2" s="1" t="s">
        <v>119</v>
      </c>
      <c r="H2" s="1" t="s">
        <v>172</v>
      </c>
      <c r="I2" s="2">
        <f>C7*C8</f>
        <v>0</v>
      </c>
      <c r="J2" s="1"/>
      <c r="M2" s="1" t="s">
        <v>171</v>
      </c>
      <c r="N2" s="3">
        <f>I14</f>
        <v>467.8</v>
      </c>
      <c r="O2" s="1"/>
    </row>
    <row r="3" spans="1:15" x14ac:dyDescent="0.4">
      <c r="A3" s="1" t="s">
        <v>170</v>
      </c>
      <c r="B3" s="1" t="s">
        <v>169</v>
      </c>
      <c r="C3" s="1">
        <v>2</v>
      </c>
      <c r="D3" s="1" t="s">
        <v>163</v>
      </c>
      <c r="G3" s="1" t="s">
        <v>119</v>
      </c>
      <c r="H3" s="1" t="s">
        <v>168</v>
      </c>
      <c r="I3" s="2">
        <f>IF(ISBLANK(C9),MAX(200,9*C2*MAX(1,C3+C4)),C9)*C10/10000+C11</f>
        <v>54</v>
      </c>
      <c r="J3" s="1" t="s">
        <v>167</v>
      </c>
      <c r="M3" s="1" t="s">
        <v>166</v>
      </c>
      <c r="N3" s="3">
        <f>I24</f>
        <v>86.75</v>
      </c>
      <c r="O3" s="1"/>
    </row>
    <row r="4" spans="1:15" x14ac:dyDescent="0.4">
      <c r="A4" s="1" t="s">
        <v>165</v>
      </c>
      <c r="B4" s="1" t="s">
        <v>164</v>
      </c>
      <c r="C4" s="1">
        <v>0</v>
      </c>
      <c r="D4" s="1" t="s">
        <v>163</v>
      </c>
      <c r="G4" s="1" t="s">
        <v>119</v>
      </c>
      <c r="H4" s="1" t="s">
        <v>162</v>
      </c>
      <c r="I4" s="2">
        <f>IF(AND(ISBLANK(C12),ISBLANK(C13),ISBLANK(C14),NOT(ISBLANK(C15))),C15*0.5,IF(ISBLANK(C12),20,C12))</f>
        <v>20</v>
      </c>
      <c r="J4" s="1"/>
      <c r="M4" s="1" t="s">
        <v>161</v>
      </c>
      <c r="N4" s="3">
        <f>I17</f>
        <v>6</v>
      </c>
      <c r="O4" s="1"/>
    </row>
    <row r="5" spans="1:15" x14ac:dyDescent="0.4">
      <c r="A5" s="1" t="s">
        <v>160</v>
      </c>
      <c r="B5" s="1" t="s">
        <v>159</v>
      </c>
      <c r="C5" s="1">
        <v>20</v>
      </c>
      <c r="D5" s="1" t="s">
        <v>91</v>
      </c>
      <c r="G5" s="1" t="s">
        <v>119</v>
      </c>
      <c r="H5" s="1" t="s">
        <v>158</v>
      </c>
      <c r="I5" s="2">
        <f>IF(AND(ISBLANK(C12),ISBLANK(C13),ISBLANK(C14),NOT(ISBLANK(C15))),C15*0.35,IF(ISBLANK(C13),28,C13))</f>
        <v>14</v>
      </c>
      <c r="J5" s="1" t="s">
        <v>157</v>
      </c>
      <c r="M5" s="1" t="s">
        <v>156</v>
      </c>
      <c r="N5" s="3">
        <f>I28</f>
        <v>16.666499999999999</v>
      </c>
      <c r="O5" s="1"/>
    </row>
    <row r="6" spans="1:15" x14ac:dyDescent="0.4">
      <c r="A6" s="1" t="s">
        <v>155</v>
      </c>
      <c r="B6" s="1" t="s">
        <v>154</v>
      </c>
      <c r="C6" s="1">
        <v>0.12</v>
      </c>
      <c r="D6" s="1" t="s">
        <v>3</v>
      </c>
      <c r="G6" s="1" t="s">
        <v>119</v>
      </c>
      <c r="H6" s="1" t="s">
        <v>153</v>
      </c>
      <c r="I6" s="2">
        <f>IF(AND(ISBLANK(C12),ISBLANK(C13),ISBLANK(C14),NOT(ISBLANK(C15))),C15*0.15,IF(ISBLANK(C14),8,C14))</f>
        <v>6</v>
      </c>
      <c r="J6" s="1"/>
      <c r="M6" s="1" t="s">
        <v>24</v>
      </c>
      <c r="N6" s="3">
        <f>I29</f>
        <v>15</v>
      </c>
      <c r="O6" s="1"/>
    </row>
    <row r="7" spans="1:15" x14ac:dyDescent="0.4">
      <c r="A7" s="1" t="s">
        <v>152</v>
      </c>
      <c r="B7" s="1" t="s">
        <v>151</v>
      </c>
      <c r="C7" s="1">
        <v>1</v>
      </c>
      <c r="D7" s="1" t="s">
        <v>150</v>
      </c>
      <c r="G7" s="1" t="s">
        <v>119</v>
      </c>
      <c r="H7" s="1" t="s">
        <v>149</v>
      </c>
      <c r="I7" s="2">
        <f>(C3+C4)*C2*C5</f>
        <v>240</v>
      </c>
      <c r="J7" s="1" t="s">
        <v>148</v>
      </c>
      <c r="M7" s="1" t="s">
        <v>53</v>
      </c>
      <c r="N7" s="3">
        <f>I31</f>
        <v>59.221650000000004</v>
      </c>
      <c r="O7" s="1"/>
    </row>
    <row r="8" spans="1:15" x14ac:dyDescent="0.4">
      <c r="A8" s="1" t="s">
        <v>147</v>
      </c>
      <c r="B8" s="1" t="s">
        <v>146</v>
      </c>
      <c r="C8" s="1">
        <v>0</v>
      </c>
      <c r="D8" s="1" t="s">
        <v>145</v>
      </c>
      <c r="G8" s="1" t="s">
        <v>119</v>
      </c>
      <c r="H8" s="1" t="s">
        <v>144</v>
      </c>
      <c r="I8" s="2">
        <f>I7*C6</f>
        <v>28.799999999999997</v>
      </c>
      <c r="J8" s="1" t="s">
        <v>143</v>
      </c>
      <c r="M8" t="s">
        <v>142</v>
      </c>
      <c r="N8" t="s">
        <v>142</v>
      </c>
    </row>
    <row r="9" spans="1:15" x14ac:dyDescent="0.4">
      <c r="A9" s="1" t="s">
        <v>141</v>
      </c>
      <c r="B9" s="1" t="s">
        <v>140</v>
      </c>
      <c r="C9" s="1">
        <v>200</v>
      </c>
      <c r="D9" s="1" t="s">
        <v>139</v>
      </c>
      <c r="G9" s="1" t="s">
        <v>119</v>
      </c>
      <c r="H9" s="1" t="s">
        <v>138</v>
      </c>
      <c r="I9" s="2">
        <f>C16</f>
        <v>30</v>
      </c>
      <c r="J9" s="1"/>
      <c r="M9" s="1" t="s">
        <v>57</v>
      </c>
      <c r="N9" s="3">
        <f>I30</f>
        <v>592.2165</v>
      </c>
      <c r="O9" s="1"/>
    </row>
    <row r="10" spans="1:15" x14ac:dyDescent="0.4">
      <c r="A10" s="1" t="s">
        <v>137</v>
      </c>
      <c r="B10" s="1" t="s">
        <v>136</v>
      </c>
      <c r="C10" s="1">
        <v>1800</v>
      </c>
      <c r="D10" s="1" t="s">
        <v>135</v>
      </c>
      <c r="G10" s="1" t="s">
        <v>119</v>
      </c>
      <c r="H10" s="1" t="s">
        <v>134</v>
      </c>
      <c r="I10" s="2">
        <f>C18</f>
        <v>25</v>
      </c>
      <c r="J10" s="1"/>
      <c r="M10" s="1" t="s">
        <v>49</v>
      </c>
      <c r="N10" s="3">
        <f>I32</f>
        <v>651.43814999999995</v>
      </c>
      <c r="O10" s="1"/>
    </row>
    <row r="11" spans="1:15" x14ac:dyDescent="0.4">
      <c r="A11" s="1" t="s">
        <v>133</v>
      </c>
      <c r="B11" s="1" t="s">
        <v>132</v>
      </c>
      <c r="C11" s="1">
        <v>18</v>
      </c>
      <c r="D11" s="1" t="s">
        <v>23</v>
      </c>
      <c r="G11" s="1" t="s">
        <v>119</v>
      </c>
      <c r="H11" s="1" t="s">
        <v>131</v>
      </c>
      <c r="I11" s="2">
        <f>IF(NOT(ISBLANK(C21)),C21*(C3+C4)*C2,IF(ISBLANK(C20),0,C20))</f>
        <v>40</v>
      </c>
      <c r="J11" s="1" t="s">
        <v>130</v>
      </c>
      <c r="M11" s="1" t="s">
        <v>45</v>
      </c>
      <c r="N11" s="3">
        <f>I33</f>
        <v>736.12510949999989</v>
      </c>
      <c r="O11" s="1"/>
    </row>
    <row r="12" spans="1:15" x14ac:dyDescent="0.4">
      <c r="A12" s="1" t="s">
        <v>129</v>
      </c>
      <c r="B12" s="1" t="s">
        <v>128</v>
      </c>
      <c r="C12" s="1"/>
      <c r="D12" s="1" t="s">
        <v>23</v>
      </c>
      <c r="G12" s="1" t="s">
        <v>119</v>
      </c>
      <c r="H12" s="1" t="s">
        <v>127</v>
      </c>
      <c r="I12" s="2">
        <f>C19</f>
        <v>10</v>
      </c>
      <c r="J12" s="1"/>
      <c r="M12" s="1" t="s">
        <v>126</v>
      </c>
      <c r="N12" s="1"/>
      <c r="O12" s="1"/>
    </row>
    <row r="13" spans="1:15" x14ac:dyDescent="0.4">
      <c r="A13" s="1" t="s">
        <v>125</v>
      </c>
      <c r="B13" s="1" t="s">
        <v>124</v>
      </c>
      <c r="C13" s="1"/>
      <c r="D13" s="1" t="s">
        <v>23</v>
      </c>
      <c r="G13" s="1" t="s">
        <v>119</v>
      </c>
      <c r="H13" s="1" t="s">
        <v>123</v>
      </c>
      <c r="I13" s="2">
        <f>C17</f>
        <v>0</v>
      </c>
      <c r="J13" s="1"/>
      <c r="M13" s="1" t="s">
        <v>122</v>
      </c>
      <c r="N13" s="3">
        <f>IF(I32=0,0,I14/I32*100)</f>
        <v>71.810347613200122</v>
      </c>
      <c r="O13" s="1"/>
    </row>
    <row r="14" spans="1:15" x14ac:dyDescent="0.4">
      <c r="A14" s="1" t="s">
        <v>121</v>
      </c>
      <c r="B14" s="1" t="s">
        <v>120</v>
      </c>
      <c r="C14" s="1"/>
      <c r="D14" s="1" t="s">
        <v>23</v>
      </c>
      <c r="G14" s="1" t="s">
        <v>119</v>
      </c>
      <c r="H14" s="1" t="s">
        <v>63</v>
      </c>
      <c r="I14" s="2">
        <f>SUM(I2:I13)</f>
        <v>467.8</v>
      </c>
      <c r="J14" s="1" t="s">
        <v>63</v>
      </c>
      <c r="M14" s="1" t="s">
        <v>118</v>
      </c>
      <c r="N14" s="3">
        <f>IF(I32=0,0,I24/I32*100)</f>
        <v>13.316690157001091</v>
      </c>
      <c r="O14" s="1"/>
    </row>
    <row r="15" spans="1:15" x14ac:dyDescent="0.4">
      <c r="A15" s="1" t="s">
        <v>117</v>
      </c>
      <c r="B15" s="1" t="s">
        <v>116</v>
      </c>
      <c r="C15" s="1">
        <v>40</v>
      </c>
      <c r="D15" s="1" t="s">
        <v>23</v>
      </c>
      <c r="G15" s="1" t="s">
        <v>107</v>
      </c>
      <c r="H15" s="1" t="s">
        <v>115</v>
      </c>
      <c r="I15" s="2">
        <f>C22*C23/10000</f>
        <v>6</v>
      </c>
      <c r="J15" s="1" t="s">
        <v>114</v>
      </c>
      <c r="M15" s="1" t="s">
        <v>113</v>
      </c>
      <c r="N15" s="3">
        <f>IF(I32=0,0,I17/I32*100)</f>
        <v>0.92103908866866346</v>
      </c>
      <c r="O15" s="1"/>
    </row>
    <row r="16" spans="1:15" x14ac:dyDescent="0.4">
      <c r="A16" s="1" t="s">
        <v>112</v>
      </c>
      <c r="B16" s="1" t="s">
        <v>111</v>
      </c>
      <c r="C16" s="1">
        <v>30</v>
      </c>
      <c r="D16" s="1" t="s">
        <v>23</v>
      </c>
      <c r="G16" s="1" t="s">
        <v>107</v>
      </c>
      <c r="H16" s="1" t="s">
        <v>79</v>
      </c>
      <c r="I16" s="2">
        <f>C24</f>
        <v>0</v>
      </c>
      <c r="J16" s="1"/>
      <c r="M16" s="1" t="s">
        <v>110</v>
      </c>
      <c r="N16" s="3">
        <f>IF(I32=0,0,I28/I32*100)</f>
        <v>2.5584163285493795</v>
      </c>
      <c r="O16" s="1"/>
    </row>
    <row r="17" spans="1:15" x14ac:dyDescent="0.4">
      <c r="A17" s="1" t="s">
        <v>109</v>
      </c>
      <c r="B17" s="1" t="s">
        <v>108</v>
      </c>
      <c r="C17" s="1">
        <v>0</v>
      </c>
      <c r="D17" s="1" t="s">
        <v>23</v>
      </c>
      <c r="G17" s="1" t="s">
        <v>107</v>
      </c>
      <c r="H17" s="1" t="s">
        <v>63</v>
      </c>
      <c r="I17" s="2">
        <f>I15+I16</f>
        <v>6</v>
      </c>
      <c r="J17" s="1" t="s">
        <v>63</v>
      </c>
      <c r="M17" s="1" t="s">
        <v>106</v>
      </c>
      <c r="N17" s="3">
        <f>IF(I32=0,0,I29/I32*100)</f>
        <v>2.3025977216716584</v>
      </c>
      <c r="O17" s="1"/>
    </row>
    <row r="18" spans="1:15" x14ac:dyDescent="0.4">
      <c r="A18" s="1" t="s">
        <v>105</v>
      </c>
      <c r="B18" s="1" t="s">
        <v>104</v>
      </c>
      <c r="C18" s="1">
        <v>25</v>
      </c>
      <c r="D18" s="1" t="s">
        <v>23</v>
      </c>
      <c r="G18" s="1" t="s">
        <v>78</v>
      </c>
      <c r="H18" s="1" t="s">
        <v>103</v>
      </c>
      <c r="I18" s="2">
        <f>IF(C26="combined",C25*C27/10000,C25*(C28+C29)/10000)</f>
        <v>11.75</v>
      </c>
      <c r="J18" s="1" t="s">
        <v>102</v>
      </c>
      <c r="M18" s="1" t="s">
        <v>101</v>
      </c>
      <c r="N18" s="3">
        <f>IF(I32=0,0,I31/I32*100)</f>
        <v>9.0909090909090917</v>
      </c>
      <c r="O18" s="1"/>
    </row>
    <row r="19" spans="1:15" x14ac:dyDescent="0.4">
      <c r="A19" s="1" t="s">
        <v>100</v>
      </c>
      <c r="B19" s="1" t="s">
        <v>99</v>
      </c>
      <c r="C19" s="1">
        <v>10</v>
      </c>
      <c r="D19" s="1" t="s">
        <v>23</v>
      </c>
      <c r="G19" s="1" t="s">
        <v>78</v>
      </c>
      <c r="H19" s="1" t="s">
        <v>98</v>
      </c>
      <c r="I19" s="2">
        <f>C30</f>
        <v>15</v>
      </c>
      <c r="J19" s="1"/>
    </row>
    <row r="20" spans="1:15" x14ac:dyDescent="0.4">
      <c r="A20" s="1" t="s">
        <v>97</v>
      </c>
      <c r="B20" s="1" t="s">
        <v>96</v>
      </c>
      <c r="C20" s="1">
        <v>40</v>
      </c>
      <c r="D20" s="1" t="s">
        <v>23</v>
      </c>
      <c r="G20" s="1" t="s">
        <v>78</v>
      </c>
      <c r="H20" s="1" t="s">
        <v>95</v>
      </c>
      <c r="I20" s="2">
        <f>C31</f>
        <v>5</v>
      </c>
      <c r="J20" s="1" t="s">
        <v>94</v>
      </c>
    </row>
    <row r="21" spans="1:15" x14ac:dyDescent="0.4">
      <c r="A21" s="1" t="s">
        <v>93</v>
      </c>
      <c r="B21" s="1" t="s">
        <v>92</v>
      </c>
      <c r="C21" s="1"/>
      <c r="D21" s="1" t="s">
        <v>91</v>
      </c>
      <c r="G21" s="1" t="s">
        <v>78</v>
      </c>
      <c r="H21" s="1" t="s">
        <v>90</v>
      </c>
      <c r="I21" s="2">
        <f>C32</f>
        <v>15</v>
      </c>
      <c r="J21" s="1" t="s">
        <v>89</v>
      </c>
    </row>
    <row r="22" spans="1:15" x14ac:dyDescent="0.4">
      <c r="A22" s="1" t="s">
        <v>88</v>
      </c>
      <c r="B22" s="1" t="s">
        <v>87</v>
      </c>
      <c r="C22" s="1">
        <v>100</v>
      </c>
      <c r="D22" s="1" t="s">
        <v>41</v>
      </c>
      <c r="G22" s="1" t="s">
        <v>78</v>
      </c>
      <c r="H22" s="1" t="s">
        <v>86</v>
      </c>
      <c r="I22" s="2">
        <f>IF(ISBLANK(C34),C33,C34*C35/10000+C36*C37+C38+C39+C40)</f>
        <v>40</v>
      </c>
      <c r="J22" s="1" t="s">
        <v>85</v>
      </c>
    </row>
    <row r="23" spans="1:15" x14ac:dyDescent="0.4">
      <c r="A23" s="1" t="s">
        <v>84</v>
      </c>
      <c r="B23" s="1" t="s">
        <v>83</v>
      </c>
      <c r="C23" s="1">
        <v>600</v>
      </c>
      <c r="D23" s="1" t="s">
        <v>38</v>
      </c>
      <c r="G23" s="1" t="s">
        <v>78</v>
      </c>
      <c r="H23" s="1" t="s">
        <v>82</v>
      </c>
      <c r="I23" s="2">
        <f>C45*C46</f>
        <v>0</v>
      </c>
      <c r="J23" s="1" t="s">
        <v>81</v>
      </c>
    </row>
    <row r="24" spans="1:15" x14ac:dyDescent="0.4">
      <c r="A24" s="1" t="s">
        <v>80</v>
      </c>
      <c r="B24" s="1" t="s">
        <v>79</v>
      </c>
      <c r="C24" s="1">
        <v>0</v>
      </c>
      <c r="D24" s="1" t="s">
        <v>23</v>
      </c>
      <c r="G24" s="1" t="s">
        <v>78</v>
      </c>
      <c r="H24" s="1" t="s">
        <v>63</v>
      </c>
      <c r="I24" s="2">
        <f>SUM(I18:I23)</f>
        <v>86.75</v>
      </c>
      <c r="J24" s="1" t="s">
        <v>63</v>
      </c>
    </row>
    <row r="25" spans="1:15" x14ac:dyDescent="0.4">
      <c r="A25" s="1" t="s">
        <v>77</v>
      </c>
      <c r="B25" s="1" t="s">
        <v>76</v>
      </c>
      <c r="C25" s="1">
        <v>250</v>
      </c>
      <c r="D25" s="1" t="s">
        <v>41</v>
      </c>
      <c r="G25" s="1" t="s">
        <v>64</v>
      </c>
      <c r="H25" s="1" t="s">
        <v>75</v>
      </c>
      <c r="I25" s="2">
        <f>(I14+I24+I17)*C42</f>
        <v>2.8027499999999996</v>
      </c>
      <c r="J25" s="1" t="s">
        <v>74</v>
      </c>
    </row>
    <row r="26" spans="1:15" x14ac:dyDescent="0.4">
      <c r="A26" s="1" t="s">
        <v>73</v>
      </c>
      <c r="B26" s="1" t="s">
        <v>72</v>
      </c>
      <c r="C26" s="1" t="s">
        <v>71</v>
      </c>
      <c r="D26" s="1"/>
      <c r="G26" s="1" t="s">
        <v>64</v>
      </c>
      <c r="H26" s="1" t="s">
        <v>70</v>
      </c>
      <c r="I26" s="2">
        <f>IF(C47,I14,I14-I2)*C43</f>
        <v>11.695</v>
      </c>
      <c r="J26" s="1"/>
    </row>
    <row r="27" spans="1:15" x14ac:dyDescent="0.4">
      <c r="A27" s="1" t="s">
        <v>69</v>
      </c>
      <c r="B27" s="1" t="s">
        <v>68</v>
      </c>
      <c r="C27" s="1">
        <v>500</v>
      </c>
      <c r="D27" s="1" t="s">
        <v>38</v>
      </c>
      <c r="G27" s="1" t="s">
        <v>64</v>
      </c>
      <c r="H27" s="1" t="s">
        <v>67</v>
      </c>
      <c r="I27" s="2">
        <f>I24*C44</f>
        <v>2.1687500000000002</v>
      </c>
      <c r="J27" s="1"/>
    </row>
    <row r="28" spans="1:15" x14ac:dyDescent="0.4">
      <c r="A28" s="1" t="s">
        <v>66</v>
      </c>
      <c r="B28" s="1" t="s">
        <v>65</v>
      </c>
      <c r="C28" s="1">
        <v>350</v>
      </c>
      <c r="D28" s="1" t="s">
        <v>38</v>
      </c>
      <c r="G28" s="1" t="s">
        <v>64</v>
      </c>
      <c r="H28" s="1" t="s">
        <v>63</v>
      </c>
      <c r="I28" s="2">
        <f>I25+I26+I27</f>
        <v>16.666499999999999</v>
      </c>
      <c r="J28" s="1" t="s">
        <v>63</v>
      </c>
    </row>
    <row r="29" spans="1:15" x14ac:dyDescent="0.4">
      <c r="A29" s="1" t="s">
        <v>62</v>
      </c>
      <c r="B29" s="1" t="s">
        <v>61</v>
      </c>
      <c r="C29" s="1">
        <v>120</v>
      </c>
      <c r="D29" s="1" t="s">
        <v>38</v>
      </c>
      <c r="G29" s="1" t="s">
        <v>60</v>
      </c>
      <c r="H29" s="1" t="s">
        <v>24</v>
      </c>
      <c r="I29" s="2">
        <f>C41</f>
        <v>15</v>
      </c>
      <c r="J29" s="1"/>
    </row>
    <row r="30" spans="1:15" x14ac:dyDescent="0.4">
      <c r="A30" s="1" t="s">
        <v>59</v>
      </c>
      <c r="B30" s="1" t="s">
        <v>58</v>
      </c>
      <c r="C30" s="1">
        <v>15</v>
      </c>
      <c r="D30" s="1" t="s">
        <v>23</v>
      </c>
      <c r="G30" s="1" t="s">
        <v>46</v>
      </c>
      <c r="H30" s="1" t="s">
        <v>57</v>
      </c>
      <c r="I30" s="2">
        <f>I14+I17+I24+I28+I29</f>
        <v>592.2165</v>
      </c>
      <c r="J30" s="1" t="s">
        <v>56</v>
      </c>
    </row>
    <row r="31" spans="1:15" x14ac:dyDescent="0.4">
      <c r="A31" s="1" t="s">
        <v>55</v>
      </c>
      <c r="B31" s="1" t="s">
        <v>54</v>
      </c>
      <c r="C31" s="1">
        <v>5</v>
      </c>
      <c r="D31" s="1" t="s">
        <v>23</v>
      </c>
      <c r="G31" s="1" t="s">
        <v>46</v>
      </c>
      <c r="H31" s="1" t="s">
        <v>53</v>
      </c>
      <c r="I31" s="2">
        <f>I30*C48</f>
        <v>59.221650000000004</v>
      </c>
      <c r="J31" s="1" t="s">
        <v>52</v>
      </c>
    </row>
    <row r="32" spans="1:15" x14ac:dyDescent="0.4">
      <c r="A32" s="1" t="s">
        <v>51</v>
      </c>
      <c r="B32" s="1" t="s">
        <v>50</v>
      </c>
      <c r="C32" s="1">
        <v>15</v>
      </c>
      <c r="D32" s="1" t="s">
        <v>23</v>
      </c>
      <c r="G32" s="1" t="s">
        <v>46</v>
      </c>
      <c r="H32" s="1" t="s">
        <v>49</v>
      </c>
      <c r="I32" s="2">
        <f>I30+I31</f>
        <v>651.43814999999995</v>
      </c>
      <c r="J32" s="1"/>
    </row>
    <row r="33" spans="1:10" x14ac:dyDescent="0.4">
      <c r="A33" s="1" t="s">
        <v>48</v>
      </c>
      <c r="B33" s="1" t="s">
        <v>47</v>
      </c>
      <c r="C33" s="1">
        <v>50</v>
      </c>
      <c r="D33" s="1" t="s">
        <v>23</v>
      </c>
      <c r="G33" s="1" t="s">
        <v>46</v>
      </c>
      <c r="H33" s="1" t="s">
        <v>45</v>
      </c>
      <c r="I33" s="2">
        <f>I32*(1+C49)</f>
        <v>736.12510949999989</v>
      </c>
      <c r="J33" s="1" t="s">
        <v>44</v>
      </c>
    </row>
    <row r="34" spans="1:10" x14ac:dyDescent="0.4">
      <c r="A34" s="1" t="s">
        <v>43</v>
      </c>
      <c r="B34" s="1" t="s">
        <v>42</v>
      </c>
      <c r="C34" s="1">
        <v>500</v>
      </c>
      <c r="D34" s="1" t="s">
        <v>41</v>
      </c>
    </row>
    <row r="35" spans="1:10" x14ac:dyDescent="0.4">
      <c r="A35" s="1" t="s">
        <v>40</v>
      </c>
      <c r="B35" s="1" t="s">
        <v>39</v>
      </c>
      <c r="C35" s="1">
        <v>350</v>
      </c>
      <c r="D35" s="1" t="s">
        <v>38</v>
      </c>
    </row>
    <row r="36" spans="1:10" x14ac:dyDescent="0.4">
      <c r="A36" s="1" t="s">
        <v>37</v>
      </c>
      <c r="B36" s="1" t="s">
        <v>36</v>
      </c>
      <c r="C36" s="1">
        <v>1</v>
      </c>
      <c r="D36" s="1" t="s">
        <v>35</v>
      </c>
    </row>
    <row r="37" spans="1:10" x14ac:dyDescent="0.4">
      <c r="A37" s="1" t="s">
        <v>34</v>
      </c>
      <c r="B37" s="1" t="s">
        <v>33</v>
      </c>
      <c r="C37" s="1">
        <v>6</v>
      </c>
      <c r="D37" s="1" t="s">
        <v>32</v>
      </c>
    </row>
    <row r="38" spans="1:10" x14ac:dyDescent="0.4">
      <c r="A38" s="1" t="s">
        <v>31</v>
      </c>
      <c r="B38" s="1" t="s">
        <v>30</v>
      </c>
      <c r="C38" s="1">
        <v>6</v>
      </c>
      <c r="D38" s="1" t="s">
        <v>23</v>
      </c>
    </row>
    <row r="39" spans="1:10" x14ac:dyDescent="0.4">
      <c r="A39" s="1" t="s">
        <v>29</v>
      </c>
      <c r="B39" s="1" t="s">
        <v>28</v>
      </c>
      <c r="C39" s="1">
        <v>6</v>
      </c>
      <c r="D39" s="1" t="s">
        <v>23</v>
      </c>
    </row>
    <row r="40" spans="1:10" x14ac:dyDescent="0.4">
      <c r="A40" s="1" t="s">
        <v>27</v>
      </c>
      <c r="B40" s="1" t="s">
        <v>26</v>
      </c>
      <c r="C40" s="1">
        <v>4.5</v>
      </c>
      <c r="D40" s="1" t="s">
        <v>23</v>
      </c>
    </row>
    <row r="41" spans="1:10" x14ac:dyDescent="0.4">
      <c r="A41" s="1" t="s">
        <v>25</v>
      </c>
      <c r="B41" s="1" t="s">
        <v>24</v>
      </c>
      <c r="C41" s="1">
        <v>15</v>
      </c>
      <c r="D41" s="1" t="s">
        <v>23</v>
      </c>
    </row>
    <row r="42" spans="1:10" x14ac:dyDescent="0.4">
      <c r="A42" s="1" t="s">
        <v>22</v>
      </c>
      <c r="B42" s="1" t="s">
        <v>21</v>
      </c>
      <c r="C42" s="1">
        <v>5.0000000000000001E-3</v>
      </c>
      <c r="D42" s="1" t="s">
        <v>3</v>
      </c>
    </row>
    <row r="43" spans="1:10" x14ac:dyDescent="0.4">
      <c r="A43" s="1" t="s">
        <v>20</v>
      </c>
      <c r="B43" s="1" t="s">
        <v>19</v>
      </c>
      <c r="C43" s="1">
        <v>2.5000000000000001E-2</v>
      </c>
      <c r="D43" s="1" t="s">
        <v>3</v>
      </c>
    </row>
    <row r="44" spans="1:10" x14ac:dyDescent="0.4">
      <c r="A44" s="1" t="s">
        <v>18</v>
      </c>
      <c r="B44" s="1" t="s">
        <v>17</v>
      </c>
      <c r="C44" s="1">
        <v>2.5000000000000001E-2</v>
      </c>
      <c r="D44" s="1" t="s">
        <v>3</v>
      </c>
    </row>
    <row r="45" spans="1:10" x14ac:dyDescent="0.4">
      <c r="A45" s="1" t="s">
        <v>16</v>
      </c>
      <c r="B45" s="1" t="s">
        <v>15</v>
      </c>
      <c r="C45" s="1">
        <v>0</v>
      </c>
      <c r="D45" s="1" t="s">
        <v>14</v>
      </c>
    </row>
    <row r="46" spans="1:10" x14ac:dyDescent="0.4">
      <c r="A46" s="1" t="s">
        <v>13</v>
      </c>
      <c r="B46" s="1" t="s">
        <v>12</v>
      </c>
      <c r="C46" s="1">
        <v>50</v>
      </c>
      <c r="D46" s="1" t="s">
        <v>11</v>
      </c>
    </row>
    <row r="47" spans="1:10" x14ac:dyDescent="0.4">
      <c r="A47" s="1" t="s">
        <v>10</v>
      </c>
      <c r="B47" s="1" t="s">
        <v>9</v>
      </c>
      <c r="C47" s="1" t="b">
        <v>0</v>
      </c>
      <c r="D47" s="1" t="s">
        <v>8</v>
      </c>
    </row>
    <row r="48" spans="1:10" x14ac:dyDescent="0.4">
      <c r="A48" s="1" t="s">
        <v>7</v>
      </c>
      <c r="B48" s="1" t="s">
        <v>6</v>
      </c>
      <c r="C48" s="1">
        <v>0.1</v>
      </c>
      <c r="D48" s="1" t="s">
        <v>3</v>
      </c>
    </row>
    <row r="49" spans="1:4" x14ac:dyDescent="0.4">
      <c r="A49" s="1" t="s">
        <v>5</v>
      </c>
      <c r="B49" s="1" t="s">
        <v>4</v>
      </c>
      <c r="C49" s="1">
        <v>0.13</v>
      </c>
      <c r="D49" s="1" t="s">
        <v>3</v>
      </c>
    </row>
    <row r="50" spans="1:4" x14ac:dyDescent="0.4">
      <c r="A50" s="1" t="s">
        <v>2</v>
      </c>
      <c r="B50" s="1" t="s">
        <v>1</v>
      </c>
      <c r="C50" s="1">
        <v>2</v>
      </c>
      <c r="D50" s="1" t="s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5453-94B9-44B5-84D1-C9E9963A0CD8}">
  <dimension ref="A1:K504"/>
  <sheetViews>
    <sheetView topLeftCell="D1" workbookViewId="0">
      <selection sqref="A1:K16"/>
    </sheetView>
  </sheetViews>
  <sheetFormatPr defaultRowHeight="13.5" x14ac:dyDescent="0.4"/>
  <cols>
    <col min="1" max="1" width="38" bestFit="1" customWidth="1"/>
    <col min="2" max="2" width="30" customWidth="1"/>
    <col min="3" max="4" width="18" customWidth="1"/>
    <col min="5" max="11" width="22" customWidth="1"/>
  </cols>
  <sheetData>
    <row r="1" spans="1:11" ht="27" x14ac:dyDescent="0.4">
      <c r="A1" s="8" t="s">
        <v>207</v>
      </c>
      <c r="B1" s="8" t="s">
        <v>206</v>
      </c>
      <c r="C1" s="8" t="s">
        <v>205</v>
      </c>
      <c r="D1" s="8" t="s">
        <v>204</v>
      </c>
      <c r="E1" s="8" t="s">
        <v>203</v>
      </c>
      <c r="F1" s="8" t="s">
        <v>202</v>
      </c>
      <c r="G1" s="8" t="s">
        <v>201</v>
      </c>
      <c r="H1" s="8" t="s">
        <v>200</v>
      </c>
      <c r="I1" s="8" t="s">
        <v>199</v>
      </c>
      <c r="J1" s="8" t="s">
        <v>198</v>
      </c>
      <c r="K1" s="8" t="s">
        <v>197</v>
      </c>
    </row>
    <row r="2" spans="1:11" ht="13.9" x14ac:dyDescent="0.4">
      <c r="A2" s="11" t="s">
        <v>196</v>
      </c>
      <c r="B2" s="6">
        <f>ROUND($C$37,2)</f>
        <v>651</v>
      </c>
      <c r="C2" s="6">
        <f>ROUND($C$37,2)</f>
        <v>651</v>
      </c>
      <c r="D2" s="6">
        <f>ROUND($C$37,2)</f>
        <v>651</v>
      </c>
      <c r="E2" s="6">
        <f>ROUND($C$37,2)</f>
        <v>651</v>
      </c>
      <c r="F2" s="6">
        <f>ROUND($C$37,2)</f>
        <v>651</v>
      </c>
      <c r="G2" s="6">
        <f>ROUND($C$37,2)</f>
        <v>651</v>
      </c>
      <c r="H2" s="6">
        <f>ROUND($C$37,2)</f>
        <v>651</v>
      </c>
      <c r="I2" s="6">
        <f>ROUND($C$37,2)</f>
        <v>651</v>
      </c>
      <c r="J2" s="12">
        <f>ROUND($C$37,2)</f>
        <v>651</v>
      </c>
      <c r="K2" s="6">
        <f>ROUND($C$37,2)</f>
        <v>651</v>
      </c>
    </row>
    <row r="3" spans="1:11" ht="13.9" x14ac:dyDescent="0.4">
      <c r="A3" s="11" t="s">
        <v>195</v>
      </c>
      <c r="B3" s="6">
        <f>ROUND(B21*$C$27/10000,2)</f>
        <v>435</v>
      </c>
      <c r="C3" s="6">
        <f>ROUND(C21*$C$27/10000,2)</f>
        <v>676.66</v>
      </c>
      <c r="D3" s="6">
        <f>ROUND(D21*$C$27/10000,2)</f>
        <v>918.31</v>
      </c>
      <c r="E3" s="6">
        <f>ROUND(E21*$C$27/10000,2)</f>
        <v>1160</v>
      </c>
      <c r="F3" s="6">
        <f>ROUND(F21*$C$27/10000,2)</f>
        <v>1401.66</v>
      </c>
      <c r="G3" s="6">
        <f>ROUND(G21*$C$27/10000,2)</f>
        <v>1643.31</v>
      </c>
      <c r="H3" s="6">
        <f>ROUND(H21*$C$27/10000,2)</f>
        <v>1885</v>
      </c>
      <c r="I3" s="6">
        <f>ROUND(I21*$C$27/10000,2)</f>
        <v>2069.92</v>
      </c>
      <c r="J3" s="12">
        <f>ROUND(J21*$C$27/10000,2)</f>
        <v>2069.92</v>
      </c>
      <c r="K3" s="6">
        <f>ROUND(K21*$C$27/10000,2)</f>
        <v>2069.92</v>
      </c>
    </row>
    <row r="4" spans="1:11" ht="13.9" x14ac:dyDescent="0.4">
      <c r="A4" s="11" t="s">
        <v>194</v>
      </c>
      <c r="B4" s="6">
        <f>ROUND(IF($C$38,((IF($C$32="customer", MIN($C$64, ($C$25*24*$C$26*365)*(1-$C$31))/(1-$C$31), MIN($C$64, ($C$25*24*$C$26*365)))*$C$39)*(($C$52*MAX(0,$C$40-$C$41))/($C$49*$C$50)*$C$29+($C$46+$C$47+$C$48))+MAX(0,$C$42-$C$43)*IF($C$32="customer", MIN($C$64, ($C$25*24*$C$26*365)*(1-$C$31))/(1-$C$31), MIN($C$64, ($C$25*24*$C$26*365)))*(($C$52*MAX(0,$C$40-$C$41))/($C$49*$C$50)*$C$29+($C$46+$C$47+$C$48))+IF($C$44="",0,(IF($C$32="customer", MIN($C$64, ($C$25*24*$C$26*365)*(1-$C$31))/(1-$C$31), MIN($C$64, ($C$25*24*$C$26*365)))*$C$39)*($C$51*$C$54*($C$53/($C$49*$C$50))*$C$29)))/10000,0),2)</f>
        <v>57.73</v>
      </c>
      <c r="C4" s="6">
        <f>ROUND(IF($C$38,((IF($C$32="customer", MIN($C$65, ($C$25*24*$C$26*365)*(1-$C$31))/(1-$C$31), MIN($C$65, ($C$25*24*$C$26*365)))*$C$39)*(($C$52*MAX(0,$C$40-$C$41))/($C$49*$C$50)*$C$29+($C$46+$C$47+$C$48))+MAX(0,$C$42-$C$43)*IF($C$32="customer", MIN($C$65, ($C$25*24*$C$26*365)*(1-$C$31))/(1-$C$31), MIN($C$65, ($C$25*24*$C$26*365)))*(($C$52*MAX(0,$C$40-$C$41))/($C$49*$C$50)*$C$29+($C$46+$C$47+$C$48))+IF($C$44="",0,(IF($C$32="customer", MIN($C$65, ($C$25*24*$C$26*365)*(1-$C$31))/(1-$C$31), MIN($C$65, ($C$25*24*$C$26*365)))*$C$39)*($C$51*$C$54*($C$53/($C$49*$C$50))*$C$29)))/10000,0),2)</f>
        <v>89.8</v>
      </c>
      <c r="D4" s="6">
        <f>ROUND(IF($C$38,((IF($C$32="customer", MIN($C$66, ($C$25*24*$C$26*365)*(1-$C$31))/(1-$C$31), MIN($C$66, ($C$25*24*$C$26*365)))*$C$39)*(($C$52*MAX(0,$C$40-$C$41))/($C$49*$C$50)*$C$29+($C$46+$C$47+$C$48))+MAX(0,$C$42-$C$43)*IF($C$32="customer", MIN($C$66, ($C$25*24*$C$26*365)*(1-$C$31))/(1-$C$31), MIN($C$66, ($C$25*24*$C$26*365)))*(($C$52*MAX(0,$C$40-$C$41))/($C$49*$C$50)*$C$29+($C$46+$C$47+$C$48))+IF($C$44="",0,(IF($C$32="customer", MIN($C$66, ($C$25*24*$C$26*365)*(1-$C$31))/(1-$C$31), MIN($C$66, ($C$25*24*$C$26*365)))*$C$39)*($C$51*$C$54*($C$53/($C$49*$C$50))*$C$29)))/10000,0),2)</f>
        <v>121.87</v>
      </c>
      <c r="E4" s="6">
        <f>ROUND(IF($C$38,((IF($C$32="customer", MIN($C$67, ($C$25*24*$C$26*365)*(1-$C$31))/(1-$C$31), MIN($C$67, ($C$25*24*$C$26*365)))*$C$39)*(($C$52*MAX(0,$C$40-$C$41))/($C$49*$C$50)*$C$29+($C$46+$C$47+$C$48))+MAX(0,$C$42-$C$43)*IF($C$32="customer", MIN($C$67, ($C$25*24*$C$26*365)*(1-$C$31))/(1-$C$31), MIN($C$67, ($C$25*24*$C$26*365)))*(($C$52*MAX(0,$C$40-$C$41))/($C$49*$C$50)*$C$29+($C$46+$C$47+$C$48))+IF($C$44="",0,(IF($C$32="customer", MIN($C$67, ($C$25*24*$C$26*365)*(1-$C$31))/(1-$C$31), MIN($C$67, ($C$25*24*$C$26*365)))*$C$39)*($C$51*$C$54*($C$53/($C$49*$C$50))*$C$29)))/10000,0),2)</f>
        <v>153.94999999999999</v>
      </c>
      <c r="F4" s="6">
        <f>ROUND(IF($C$38,((IF($C$32="customer", MIN($C$68, ($C$25*24*$C$26*365)*(1-$C$31))/(1-$C$31), MIN($C$68, ($C$25*24*$C$26*365)))*$C$39)*(($C$52*MAX(0,$C$40-$C$41))/($C$49*$C$50)*$C$29+($C$46+$C$47+$C$48))+MAX(0,$C$42-$C$43)*IF($C$32="customer", MIN($C$68, ($C$25*24*$C$26*365)*(1-$C$31))/(1-$C$31), MIN($C$68, ($C$25*24*$C$26*365)))*(($C$52*MAX(0,$C$40-$C$41))/($C$49*$C$50)*$C$29+($C$46+$C$47+$C$48))+IF($C$44="",0,(IF($C$32="customer", MIN($C$68, ($C$25*24*$C$26*365)*(1-$C$31))/(1-$C$31), MIN($C$68, ($C$25*24*$C$26*365)))*$C$39)*($C$51*$C$54*($C$53/($C$49*$C$50))*$C$29)))/10000,0),2)</f>
        <v>186.02</v>
      </c>
      <c r="G4" s="6">
        <f>ROUND(IF($C$38,((IF($C$32="customer", MIN($C$69, ($C$25*24*$C$26*365)*(1-$C$31))/(1-$C$31), MIN($C$69, ($C$25*24*$C$26*365)))*$C$39)*(($C$52*MAX(0,$C$40-$C$41))/($C$49*$C$50)*$C$29+($C$46+$C$47+$C$48))+MAX(0,$C$42-$C$43)*IF($C$32="customer", MIN($C$69, ($C$25*24*$C$26*365)*(1-$C$31))/(1-$C$31), MIN($C$69, ($C$25*24*$C$26*365)))*(($C$52*MAX(0,$C$40-$C$41))/($C$49*$C$50)*$C$29+($C$46+$C$47+$C$48))+IF($C$44="",0,(IF($C$32="customer", MIN($C$69, ($C$25*24*$C$26*365)*(1-$C$31))/(1-$C$31), MIN($C$69, ($C$25*24*$C$26*365)))*$C$39)*($C$51*$C$54*($C$53/($C$49*$C$50))*$C$29)))/10000,0),2)</f>
        <v>218.09</v>
      </c>
      <c r="H4" s="6">
        <f>ROUND(IF($C$38,((IF($C$32="customer", MIN($C$70, ($C$25*24*$C$26*365)*(1-$C$31))/(1-$C$31), MIN($C$70, ($C$25*24*$C$26*365)))*$C$39)*(($C$52*MAX(0,$C$40-$C$41))/($C$49*$C$50)*$C$29+($C$46+$C$47+$C$48))+MAX(0,$C$42-$C$43)*IF($C$32="customer", MIN($C$70, ($C$25*24*$C$26*365)*(1-$C$31))/(1-$C$31), MIN($C$70, ($C$25*24*$C$26*365)))*(($C$52*MAX(0,$C$40-$C$41))/($C$49*$C$50)*$C$29+($C$46+$C$47+$C$48))+IF($C$44="",0,(IF($C$32="customer", MIN($C$70, ($C$25*24*$C$26*365)*(1-$C$31))/(1-$C$31), MIN($C$70, ($C$25*24*$C$26*365)))*$C$39)*($C$51*$C$54*($C$53/($C$49*$C$50))*$C$29)))/10000,0),2)</f>
        <v>250.17</v>
      </c>
      <c r="I4" s="6">
        <f>ROUND(IF($C$38,((IF($C$32="customer", MIN($C$71, ($C$25*24*$C$26*365)*(1-$C$31))/(1-$C$31), MIN($C$71, ($C$25*24*$C$26*365)))*$C$39)*(($C$52*MAX(0,$C$40-$C$41))/($C$49*$C$50)*$C$29+($C$46+$C$47+$C$48))+MAX(0,$C$42-$C$43)*IF($C$32="customer", MIN($C$71, ($C$25*24*$C$26*365)*(1-$C$31))/(1-$C$31), MIN($C$71, ($C$25*24*$C$26*365)))*(($C$52*MAX(0,$C$40-$C$41))/($C$49*$C$50)*$C$29+($C$46+$C$47+$C$48))+IF($C$44="",0,(IF($C$32="customer", MIN($C$71, ($C$25*24*$C$26*365)*(1-$C$31))/(1-$C$31), MIN($C$71, ($C$25*24*$C$26*365)))*$C$39)*($C$51*$C$54*($C$53/($C$49*$C$50))*$C$29)))/10000,0),2)</f>
        <v>274.70999999999998</v>
      </c>
      <c r="J4" s="12">
        <f>ROUND(IF($C$38,((IF($C$32="customer", MIN($C$72, ($C$25*24*$C$26*365)*(1-$C$31))/(1-$C$31), MIN($C$72, ($C$25*24*$C$26*365)))*$C$39)*(($C$52*MAX(0,$C$40-$C$41))/($C$49*$C$50)*$C$29+($C$46+$C$47+$C$48))+MAX(0,$C$42-$C$43)*IF($C$32="customer", MIN($C$72, ($C$25*24*$C$26*365)*(1-$C$31))/(1-$C$31), MIN($C$72, ($C$25*24*$C$26*365)))*(($C$52*MAX(0,$C$40-$C$41))/($C$49*$C$50)*$C$29+($C$46+$C$47+$C$48))+IF($C$44="",0,(IF($C$32="customer", MIN($C$72, ($C$25*24*$C$26*365)*(1-$C$31))/(1-$C$31), MIN($C$72, ($C$25*24*$C$26*365)))*$C$39)*($C$51*$C$54*($C$53/($C$49*$C$50))*$C$29)))/10000,0),2)</f>
        <v>274.70999999999998</v>
      </c>
      <c r="K4" s="6">
        <f>ROUND(IF($C$38,((IF($C$32="customer", MIN($C$73, ($C$25*24*$C$26*365)*(1-$C$31))/(1-$C$31), MIN($C$73, ($C$25*24*$C$26*365)))*$C$39)*(($C$52*MAX(0,$C$40-$C$41))/($C$49*$C$50)*$C$29+($C$46+$C$47+$C$48))+MAX(0,$C$42-$C$43)*IF($C$32="customer", MIN($C$73, ($C$25*24*$C$26*365)*(1-$C$31))/(1-$C$31), MIN($C$73, ($C$25*24*$C$26*365)))*(($C$52*MAX(0,$C$40-$C$41))/($C$49*$C$50)*$C$29+($C$46+$C$47+$C$48))+IF($C$44="",0,(IF($C$32="customer", MIN($C$73, ($C$25*24*$C$26*365)*(1-$C$31))/(1-$C$31), MIN($C$73, ($C$25*24*$C$26*365)))*$C$39)*($C$51*$C$54*($C$53/($C$49*$C$50))*$C$29)))/10000,0),2)</f>
        <v>274.70999999999998</v>
      </c>
    </row>
    <row r="5" spans="1:11" ht="13.9" x14ac:dyDescent="0.4">
      <c r="A5" s="11" t="s">
        <v>193</v>
      </c>
      <c r="B5" s="6">
        <f>ROUND(IF($C$55, B21*IF($C$59="step", MIN(INT(MAX(0,$C$39-$C$58)*10)*$C$56, $C$57), MIN((MAX(0,$C$39-$C$58)/0.1)*$C$56, $C$57))/10000, 0),2)</f>
        <v>0</v>
      </c>
      <c r="C5" s="6">
        <f>ROUND(IF($C$55, C21*IF($C$59="step", MIN(INT(MAX(0,$C$39-$C$58)*10)*$C$56, $C$57), MIN((MAX(0,$C$39-$C$58)/0.1)*$C$56, $C$57))/10000, 0),2)</f>
        <v>0</v>
      </c>
      <c r="D5" s="6">
        <f>ROUND(IF($C$55, D21*IF($C$59="step", MIN(INT(MAX(0,$C$39-$C$58)*10)*$C$56, $C$57), MIN((MAX(0,$C$39-$C$58)/0.1)*$C$56, $C$57))/10000, 0),2)</f>
        <v>0</v>
      </c>
      <c r="E5" s="6">
        <f>ROUND(IF($C$55, E21*IF($C$59="step", MIN(INT(MAX(0,$C$39-$C$58)*10)*$C$56, $C$57), MIN((MAX(0,$C$39-$C$58)/0.1)*$C$56, $C$57))/10000, 0),2)</f>
        <v>0</v>
      </c>
      <c r="F5" s="6">
        <f>ROUND(IF($C$55, F21*IF($C$59="step", MIN(INT(MAX(0,$C$39-$C$58)*10)*$C$56, $C$57), MIN((MAX(0,$C$39-$C$58)/0.1)*$C$56, $C$57))/10000, 0),2)</f>
        <v>0</v>
      </c>
      <c r="G5" s="6">
        <f>ROUND(IF($C$55, G21*IF($C$59="step", MIN(INT(MAX(0,$C$39-$C$58)*10)*$C$56, $C$57), MIN((MAX(0,$C$39-$C$58)/0.1)*$C$56, $C$57))/10000, 0),2)</f>
        <v>0</v>
      </c>
      <c r="H5" s="6">
        <f>ROUND(IF($C$55, H21*IF($C$59="step", MIN(INT(MAX(0,$C$39-$C$58)*10)*$C$56, $C$57), MIN((MAX(0,$C$39-$C$58)/0.1)*$C$56, $C$57))/10000, 0),2)</f>
        <v>0</v>
      </c>
      <c r="I5" s="6">
        <f>ROUND(IF($C$55, I21*IF($C$59="step", MIN(INT(MAX(0,$C$39-$C$58)*10)*$C$56, $C$57), MIN((MAX(0,$C$39-$C$58)/0.1)*$C$56, $C$57))/10000, 0),2)</f>
        <v>0</v>
      </c>
      <c r="J5" s="12">
        <f>ROUND(IF($C$55, J21*IF($C$59="step", MIN(INT(MAX(0,$C$39-$C$58)*10)*$C$56, $C$57), MIN((MAX(0,$C$39-$C$58)/0.1)*$C$56, $C$57))/10000, 0),2)</f>
        <v>0</v>
      </c>
      <c r="K5" s="6">
        <f>ROUND(IF($C$55, K21*IF($C$59="step", MIN(INT(MAX(0,$C$39-$C$58)*10)*$C$56, $C$57), MIN((MAX(0,$C$39-$C$58)/0.1)*$C$56, $C$57))/10000, 0),2)</f>
        <v>0</v>
      </c>
    </row>
    <row r="6" spans="1:11" ht="13.9" x14ac:dyDescent="0.4">
      <c r="A6" s="11" t="s">
        <v>192</v>
      </c>
      <c r="B6" s="6">
        <f>ROUND(B20*($C$29*$C$30)/10000,2)</f>
        <v>345.62</v>
      </c>
      <c r="C6" s="6">
        <f>ROUND(C20*($C$29*$C$30)/10000,2)</f>
        <v>537.62</v>
      </c>
      <c r="D6" s="6">
        <f>ROUND(D20*($C$29*$C$30)/10000,2)</f>
        <v>729.62</v>
      </c>
      <c r="E6" s="6">
        <f>ROUND(E20*($C$29*$C$30)/10000,2)</f>
        <v>921.65</v>
      </c>
      <c r="F6" s="6">
        <f>ROUND(F20*($C$29*$C$30)/10000,2)</f>
        <v>1113.6500000000001</v>
      </c>
      <c r="G6" s="6">
        <f>ROUND(G20*($C$29*$C$30)/10000,2)</f>
        <v>1305.6500000000001</v>
      </c>
      <c r="H6" s="6">
        <f>ROUND(H20*($C$29*$C$30)/10000,2)</f>
        <v>1497.68</v>
      </c>
      <c r="I6" s="6">
        <f>ROUND(I20*($C$29*$C$30)/10000,2)</f>
        <v>1644.6</v>
      </c>
      <c r="J6" s="12">
        <f>ROUND(J20*($C$29*$C$30)/10000,2)</f>
        <v>1644.6</v>
      </c>
      <c r="K6" s="6">
        <f>ROUND(K20*($C$29*$C$30)/10000,2)</f>
        <v>1644.6</v>
      </c>
    </row>
    <row r="7" spans="1:11" ht="13.9" x14ac:dyDescent="0.4">
      <c r="A7" s="11" t="s">
        <v>191</v>
      </c>
      <c r="B7" s="6">
        <f>ROUND(B20*$C$28/10000,2)</f>
        <v>6.34</v>
      </c>
      <c r="C7" s="6">
        <f>ROUND(C20*$C$28/10000,2)</f>
        <v>9.86</v>
      </c>
      <c r="D7" s="6">
        <f>ROUND(D20*$C$28/10000,2)</f>
        <v>13.38</v>
      </c>
      <c r="E7" s="6">
        <f>ROUND(E20*$C$28/10000,2)</f>
        <v>16.91</v>
      </c>
      <c r="F7" s="6">
        <f>ROUND(F20*$C$28/10000,2)</f>
        <v>20.43</v>
      </c>
      <c r="G7" s="6">
        <f>ROUND(G20*$C$28/10000,2)</f>
        <v>23.95</v>
      </c>
      <c r="H7" s="6">
        <f>ROUND(H20*$C$28/10000,2)</f>
        <v>27.47</v>
      </c>
      <c r="I7" s="6">
        <f>ROUND(I20*$C$28/10000,2)</f>
        <v>30.17</v>
      </c>
      <c r="J7" s="12">
        <f>ROUND(J20*$C$28/10000,2)</f>
        <v>30.17</v>
      </c>
      <c r="K7" s="6">
        <f>ROUND(K20*$C$28/10000,2)</f>
        <v>30.17</v>
      </c>
    </row>
    <row r="8" spans="1:11" ht="13.9" x14ac:dyDescent="0.4">
      <c r="A8" s="11" t="s">
        <v>190</v>
      </c>
      <c r="B8" s="6">
        <f>ROUND($C$35*$C$34/10000,2)</f>
        <v>24</v>
      </c>
      <c r="C8" s="6">
        <f>ROUND($C$35*$C$34/10000,2)</f>
        <v>24</v>
      </c>
      <c r="D8" s="6">
        <f>ROUND($C$35*$C$34/10000,2)</f>
        <v>24</v>
      </c>
      <c r="E8" s="6">
        <f>ROUND($C$35*$C$34/10000,2)</f>
        <v>24</v>
      </c>
      <c r="F8" s="6">
        <f>ROUND($C$35*$C$34/10000,2)</f>
        <v>24</v>
      </c>
      <c r="G8" s="6">
        <f>ROUND($C$35*$C$34/10000,2)</f>
        <v>24</v>
      </c>
      <c r="H8" s="6">
        <f>ROUND($C$35*$C$34/10000,2)</f>
        <v>24</v>
      </c>
      <c r="I8" s="6">
        <f>ROUND($C$35*$C$34/10000,2)</f>
        <v>24</v>
      </c>
      <c r="J8" s="12">
        <f>ROUND($C$35*$C$34/10000,2)</f>
        <v>24</v>
      </c>
      <c r="K8" s="6">
        <f>ROUND($C$35*$C$34/10000,2)</f>
        <v>24</v>
      </c>
    </row>
    <row r="9" spans="1:11" ht="13.9" x14ac:dyDescent="0.4">
      <c r="A9" s="11" t="s">
        <v>189</v>
      </c>
      <c r="B9" s="6">
        <f>ROUND($C$37*$C$33,2)</f>
        <v>45.57</v>
      </c>
      <c r="C9" s="6">
        <f>ROUND($C$37*$C$33,2)</f>
        <v>45.57</v>
      </c>
      <c r="D9" s="6">
        <f>ROUND($C$37*$C$33,2)</f>
        <v>45.57</v>
      </c>
      <c r="E9" s="6">
        <f>ROUND($C$37*$C$33,2)</f>
        <v>45.57</v>
      </c>
      <c r="F9" s="6">
        <f>ROUND($C$37*$C$33,2)</f>
        <v>45.57</v>
      </c>
      <c r="G9" s="6">
        <f>ROUND($C$37*$C$33,2)</f>
        <v>45.57</v>
      </c>
      <c r="H9" s="6">
        <f>ROUND($C$37*$C$33,2)</f>
        <v>45.57</v>
      </c>
      <c r="I9" s="6">
        <f>ROUND($C$37*$C$33,2)</f>
        <v>45.57</v>
      </c>
      <c r="J9" s="12">
        <f>ROUND($C$37*$C$33,2)</f>
        <v>45.57</v>
      </c>
      <c r="K9" s="6">
        <f>ROUND($C$37*$C$33,2)</f>
        <v>45.57</v>
      </c>
    </row>
    <row r="10" spans="1:11" ht="13.9" x14ac:dyDescent="0.4">
      <c r="A10" s="11" t="s">
        <v>188</v>
      </c>
      <c r="B10" s="6">
        <f>ROUND(IF($C$38, $C$45, 0),2)</f>
        <v>10</v>
      </c>
      <c r="C10" s="6">
        <f>ROUND(IF($C$38, $C$45, 0),2)</f>
        <v>10</v>
      </c>
      <c r="D10" s="6">
        <f>ROUND(IF($C$38, $C$45, 0),2)</f>
        <v>10</v>
      </c>
      <c r="E10" s="6">
        <f>ROUND(IF($C$38, $C$45, 0),2)</f>
        <v>10</v>
      </c>
      <c r="F10" s="6">
        <f>ROUND(IF($C$38, $C$45, 0),2)</f>
        <v>10</v>
      </c>
      <c r="G10" s="6">
        <f>ROUND(IF($C$38, $C$45, 0),2)</f>
        <v>10</v>
      </c>
      <c r="H10" s="6">
        <f>ROUND(IF($C$38, $C$45, 0),2)</f>
        <v>10</v>
      </c>
      <c r="I10" s="6">
        <f>ROUND(IF($C$38, $C$45, 0),2)</f>
        <v>10</v>
      </c>
      <c r="J10" s="12">
        <f>ROUND(IF($C$38, $C$45, 0),2)</f>
        <v>10</v>
      </c>
      <c r="K10" s="6">
        <f>ROUND(IF($C$38, $C$45, 0),2)</f>
        <v>10</v>
      </c>
    </row>
    <row r="11" spans="1:11" ht="13.9" x14ac:dyDescent="0.4">
      <c r="A11" s="11" t="s">
        <v>187</v>
      </c>
      <c r="B11" s="6">
        <f>ROUND($C$36,2)</f>
        <v>5</v>
      </c>
      <c r="C11" s="6">
        <f>ROUND($C$36,2)</f>
        <v>5</v>
      </c>
      <c r="D11" s="6">
        <f>ROUND($C$36,2)</f>
        <v>5</v>
      </c>
      <c r="E11" s="6">
        <f>ROUND($C$36,2)</f>
        <v>5</v>
      </c>
      <c r="F11" s="6">
        <f>ROUND($C$36,2)</f>
        <v>5</v>
      </c>
      <c r="G11" s="6">
        <f>ROUND($C$36,2)</f>
        <v>5</v>
      </c>
      <c r="H11" s="6">
        <f>ROUND($C$36,2)</f>
        <v>5</v>
      </c>
      <c r="I11" s="6">
        <f>ROUND($C$36,2)</f>
        <v>5</v>
      </c>
      <c r="J11" s="12">
        <f>ROUND($C$36,2)</f>
        <v>5</v>
      </c>
      <c r="K11" s="6">
        <f>ROUND($C$36,2)</f>
        <v>5</v>
      </c>
    </row>
    <row r="12" spans="1:11" ht="13.9" x14ac:dyDescent="0.4">
      <c r="A12" s="11" t="s">
        <v>368</v>
      </c>
      <c r="B12" s="6">
        <f>ROUND(B13-IF($C$62&gt;0, $C$37/$C$62, 0),2)</f>
        <v>12.8</v>
      </c>
      <c r="C12" s="6">
        <f>ROUND(C13-IF($C$62&gt;0, $C$37/$C$62, 0),2)</f>
        <v>91.01</v>
      </c>
      <c r="D12" s="6">
        <f>ROUND(D13-IF($C$62&gt;0, $C$37/$C$62, 0),2)</f>
        <v>169.21</v>
      </c>
      <c r="E12" s="6">
        <f>ROUND(E13-IF($C$62&gt;0, $C$37/$C$62, 0),2)</f>
        <v>247.42</v>
      </c>
      <c r="F12" s="6">
        <f>ROUND(F13-IF($C$62&gt;0, $C$37/$C$62, 0),2)</f>
        <v>325.63</v>
      </c>
      <c r="G12" s="6">
        <f>ROUND(G13-IF($C$62&gt;0, $C$37/$C$62, 0),2)</f>
        <v>403.83</v>
      </c>
      <c r="H12" s="6">
        <f>ROUND(H13-IF($C$62&gt;0, $C$37/$C$62, 0),2)</f>
        <v>482.05</v>
      </c>
      <c r="I12" s="6">
        <f>ROUND(I13-IF($C$62&gt;0, $C$37/$C$62, 0),2)</f>
        <v>541.89</v>
      </c>
      <c r="J12" s="12">
        <f>ROUND(J13-IF($C$62&gt;0, $C$37/$C$62, 0),2)</f>
        <v>541.89</v>
      </c>
      <c r="K12" s="6">
        <f>ROUND(K13-IF($C$62&gt;0, $C$37/$C$62, 0),2)</f>
        <v>541.89</v>
      </c>
    </row>
    <row r="13" spans="1:11" ht="13.9" x14ac:dyDescent="0.4">
      <c r="A13" s="14" t="s">
        <v>367</v>
      </c>
      <c r="B13" s="12">
        <f>ROUND(B3-B5-B6-B7-B8-B11-B9-B10+B4,2)</f>
        <v>56.2</v>
      </c>
      <c r="C13" s="12">
        <f>ROUND(C3-C5-C6-C7-C8-C11-C9-C10+C4,2)</f>
        <v>134.41</v>
      </c>
      <c r="D13" s="12">
        <f>ROUND(D3-D5-D6-D7-D8-D11-D9-D10+D4,2)</f>
        <v>212.61</v>
      </c>
      <c r="E13" s="12">
        <f>ROUND(E3-E5-E6-E7-E8-E11-E9-E10+E4,2)</f>
        <v>290.82</v>
      </c>
      <c r="F13" s="12">
        <f>ROUND(F3-F5-F6-F7-F8-F11-F9-F10+F4,2)</f>
        <v>369.03</v>
      </c>
      <c r="G13" s="12">
        <f>ROUND(G3-G5-G6-G7-G8-G11-G9-G10+G4,2)</f>
        <v>447.23</v>
      </c>
      <c r="H13" s="12">
        <f>ROUND(H3-H5-H6-H7-H8-H11-H9-H10+H4,2)</f>
        <v>525.45000000000005</v>
      </c>
      <c r="I13" s="12">
        <f>ROUND(I3-I5-I6-I7-I8-I11-I9-I10+I4,2)</f>
        <v>585.29</v>
      </c>
      <c r="J13" s="12">
        <f>ROUND(J3-J5-J6-J7-J8-J11-J9-J10+J4,2)</f>
        <v>585.29</v>
      </c>
      <c r="K13" s="12">
        <f>ROUND(K3-K5-K6-K7-K8-K11-K9-K10+K4,2)</f>
        <v>585.29</v>
      </c>
    </row>
    <row r="14" spans="1:11" ht="13.9" x14ac:dyDescent="0.4">
      <c r="A14" s="14" t="s">
        <v>366</v>
      </c>
      <c r="B14" s="12">
        <f>IF(B13&lt;=0,"不可回收",ROUND($C$37/B13,2))</f>
        <v>11.58</v>
      </c>
      <c r="C14" s="12">
        <f>IF(C13&lt;=0,"不可回收",ROUND($C$37/C13,2))</f>
        <v>4.84</v>
      </c>
      <c r="D14" s="12">
        <f>IF(D13&lt;=0,"不可回收",ROUND($C$37/D13,2))</f>
        <v>3.06</v>
      </c>
      <c r="E14" s="12">
        <f>IF(E13&lt;=0,"不可回收",ROUND($C$37/E13,2))</f>
        <v>2.2400000000000002</v>
      </c>
      <c r="F14" s="12">
        <f>IF(F13&lt;=0,"不可回收",ROUND($C$37/F13,2))</f>
        <v>1.76</v>
      </c>
      <c r="G14" s="12">
        <f>IF(G13&lt;=0,"不可回收",ROUND($C$37/G13,2))</f>
        <v>1.46</v>
      </c>
      <c r="H14" s="12">
        <f>IF(H13&lt;=0,"不可回收",ROUND($C$37/H13,2))</f>
        <v>1.24</v>
      </c>
      <c r="I14" s="12">
        <f>IF(I13&lt;=0,"不可回收",ROUND($C$37/I13,2))</f>
        <v>1.1100000000000001</v>
      </c>
      <c r="J14" s="12">
        <f>IF(J13&lt;=0,"不可回收",ROUND($C$37/J13,2))</f>
        <v>1.1100000000000001</v>
      </c>
      <c r="K14" s="12">
        <f>IF(K13&lt;=0,"不可回收",ROUND($C$37/K13,2))</f>
        <v>1.1100000000000001</v>
      </c>
    </row>
    <row r="15" spans="1:11" ht="13.9" x14ac:dyDescent="0.4">
      <c r="A15" s="14" t="s">
        <v>365</v>
      </c>
      <c r="B15" s="12">
        <f ca="1">IFERROR(ROUND(IRR(OFFSET(B77,0,0,$C$60+1,1))*100,2),"")</f>
        <v>4.21</v>
      </c>
      <c r="C15" s="12">
        <f ca="1">IFERROR(ROUND(IRR(OFFSET(B120,0,0,$C$60+1,1))*100,2),"")</f>
        <v>19.32</v>
      </c>
      <c r="D15" s="12">
        <f ca="1">IFERROR(ROUND(IRR(OFFSET(B163,0,0,$C$60+1,1))*100,2),"")</f>
        <v>32.21</v>
      </c>
      <c r="E15" s="12">
        <f ca="1">IFERROR(ROUND(IRR(OFFSET(B206,0,0,$C$60+1,1))*100,2),"")</f>
        <v>44.51</v>
      </c>
      <c r="F15" s="12">
        <f ca="1">IFERROR(ROUND(IRR(OFFSET(B249,0,0,$C$60+1,1))*100,2),"")</f>
        <v>56.63</v>
      </c>
      <c r="G15" s="12">
        <f ca="1">IFERROR(ROUND(IRR(OFFSET(B292,0,0,$C$60+1,1))*100,2),"")</f>
        <v>68.67</v>
      </c>
      <c r="H15" s="12">
        <f ca="1">IFERROR(ROUND(IRR(OFFSET(B335,0,0,$C$60+1,1))*100,2),"")</f>
        <v>80.7</v>
      </c>
      <c r="I15" s="12">
        <f ca="1">IFERROR(ROUND(IRR(OFFSET(B378,0,0,$C$60+1,1))*100,2),"")</f>
        <v>89.9</v>
      </c>
      <c r="J15" s="12">
        <f ca="1">IFERROR(ROUND(IRR(OFFSET(B421,0,0,$C$60+1,1))*100,2),"")</f>
        <v>89.9</v>
      </c>
      <c r="K15" s="12">
        <f ca="1">IFERROR(ROUND(IRR(OFFSET(B464,0,0,$C$60+1,1))*100,2),"")</f>
        <v>89.9</v>
      </c>
    </row>
    <row r="16" spans="1:11" ht="13.9" x14ac:dyDescent="0.4">
      <c r="A16" s="14" t="s">
        <v>364</v>
      </c>
      <c r="B16" s="12">
        <f ca="1">ROUND(NPV($C$63,OFFSET(B77,1,0,$C$60,1))+B77,2)</f>
        <v>-180.12</v>
      </c>
      <c r="C16" s="12">
        <f ca="1">ROUND(NPV($C$63,OFFSET(B120,1,0,$C$60,1))+B120,2)</f>
        <v>450.31</v>
      </c>
      <c r="D16" s="12">
        <f ca="1">ROUND(NPV($C$63,OFFSET(B163,1,0,$C$60,1))+B163,2)</f>
        <v>1080.6600000000001</v>
      </c>
      <c r="E16" s="12">
        <f ca="1">ROUND(NPV($C$63,OFFSET(B206,1,0,$C$60,1))+B206,2)</f>
        <v>1711.08</v>
      </c>
      <c r="F16" s="12">
        <f ca="1">ROUND(NPV($C$63,OFFSET(B249,1,0,$C$60,1))+B249,2)</f>
        <v>2341.5100000000002</v>
      </c>
      <c r="G16" s="12">
        <f ca="1">ROUND(NPV($C$63,OFFSET(B292,1,0,$C$60,1))+B292,2)</f>
        <v>2971.85</v>
      </c>
      <c r="H16" s="12">
        <f ca="1">ROUND(NPV($C$63,OFFSET(B335,1,0,$C$60,1))+B335,2)</f>
        <v>3602.36</v>
      </c>
      <c r="I16" s="12">
        <f ca="1">ROUND(NPV($C$63,OFFSET(B378,1,0,$C$60,1))+B378,2)</f>
        <v>4084.71</v>
      </c>
      <c r="J16" s="12">
        <f ca="1">ROUND(NPV($C$63,OFFSET(B421,1,0,$C$60,1))+B421,2)</f>
        <v>4084.71</v>
      </c>
      <c r="K16" s="12">
        <f ca="1">ROUND(NPV($C$63,OFFSET(B464,1,0,$C$60,1))+B464,2)</f>
        <v>4084.71</v>
      </c>
    </row>
    <row r="17" spans="1:11" ht="27.75" x14ac:dyDescent="0.4">
      <c r="A17" s="11" t="s">
        <v>176</v>
      </c>
      <c r="B17" s="6" t="str">
        <f>"以"&amp;$C$27&amp;"元/吨蒸汽价、"&amp;$C$29&amp;"元/方气价估算"</f>
        <v>以290元/吨蒸汽价、2.98元/方气价估算</v>
      </c>
      <c r="C17" s="6" t="str">
        <f>"以"&amp;$C$27&amp;"元/吨蒸汽价、"&amp;$C$29&amp;"元/方气价估算"</f>
        <v>以290元/吨蒸汽价、2.98元/方气价估算</v>
      </c>
      <c r="D17" s="6" t="str">
        <f>"以"&amp;$C$27&amp;"元/吨蒸汽价、"&amp;$C$29&amp;"元/方气价估算"</f>
        <v>以290元/吨蒸汽价、2.98元/方气价估算</v>
      </c>
      <c r="E17" s="6" t="str">
        <f>"以"&amp;$C$27&amp;"元/吨蒸汽价、"&amp;$C$29&amp;"元/方气价估算"</f>
        <v>以290元/吨蒸汽价、2.98元/方气价估算</v>
      </c>
      <c r="F17" s="6" t="str">
        <f>"以"&amp;$C$27&amp;"元/吨蒸汽价、"&amp;$C$29&amp;"元/方气价估算"</f>
        <v>以290元/吨蒸汽价、2.98元/方气价估算</v>
      </c>
      <c r="G17" s="6" t="str">
        <f>"以"&amp;$C$27&amp;"元/吨蒸汽价、"&amp;$C$29&amp;"元/方气价估算"</f>
        <v>以290元/吨蒸汽价、2.98元/方气价估算</v>
      </c>
      <c r="H17" s="6" t="str">
        <f>"以"&amp;$C$27&amp;"元/吨蒸汽价、"&amp;$C$29&amp;"元/方气价估算"</f>
        <v>以290元/吨蒸汽价、2.98元/方气价估算</v>
      </c>
      <c r="I17" s="6" t="str">
        <f>"以"&amp;$C$27&amp;"元/吨蒸汽价、"&amp;$C$29&amp;"元/方气价估算"</f>
        <v>以290元/吨蒸汽价、2.98元/方气价估算</v>
      </c>
      <c r="J17" s="12" t="str">
        <f>"以"&amp;$C$27&amp;"元/吨蒸汽价、"&amp;$C$29&amp;"元/方气价估算"</f>
        <v>以290元/吨蒸汽价、2.98元/方气价估算</v>
      </c>
      <c r="K17" s="6" t="str">
        <f>"以"&amp;$C$27&amp;"元/吨蒸汽价、"&amp;$C$29&amp;"元/方气价估算"</f>
        <v>以290元/吨蒸汽价、2.98元/方气价估算</v>
      </c>
    </row>
    <row r="18" spans="1:11" ht="27" x14ac:dyDescent="0.4">
      <c r="A18" s="11" t="s">
        <v>186</v>
      </c>
      <c r="B18" s="6">
        <f>ROUND(B6/$C$29*(4.3-$C$29),2)</f>
        <v>153.09</v>
      </c>
      <c r="C18" s="6">
        <f>ROUND(C6/$C$29*(4.3-$C$29),2)</f>
        <v>238.14</v>
      </c>
      <c r="D18" s="6">
        <f>ROUND(D6/$C$29*(4.3-$C$29),2)</f>
        <v>323.19</v>
      </c>
      <c r="E18" s="6">
        <f>ROUND(E6/$C$29*(4.3-$C$29),2)</f>
        <v>408.25</v>
      </c>
      <c r="F18" s="6">
        <f>ROUND(F6/$C$29*(4.3-$C$29),2)</f>
        <v>493.29</v>
      </c>
      <c r="G18" s="6">
        <f>ROUND(G6/$C$29*(4.3-$C$29),2)</f>
        <v>578.34</v>
      </c>
      <c r="H18" s="6">
        <f>ROUND(H6/$C$29*(4.3-$C$29),2)</f>
        <v>663.4</v>
      </c>
      <c r="I18" s="6">
        <f>ROUND(I6/$C$29*(4.3-$C$29),2)</f>
        <v>728.48</v>
      </c>
      <c r="J18" s="12">
        <f>ROUND(J6/$C$29*(4.3-$C$29),2)</f>
        <v>728.48</v>
      </c>
      <c r="K18" s="6">
        <f>ROUND(K6/$C$29*(4.3-$C$29),2)</f>
        <v>728.48</v>
      </c>
    </row>
    <row r="19" spans="1:11" ht="13.9" x14ac:dyDescent="0.4">
      <c r="A19" s="10" t="s">
        <v>363</v>
      </c>
      <c r="B19" s="9">
        <f>IF($C$32="customer", MIN($C$64, ($C$25*24*$C$26*365)*(1-$C$31)), MIN($C$64, ($C$25*24*$C$26*365))*(1-$C$31))</f>
        <v>15000</v>
      </c>
      <c r="C19" s="9">
        <f>IF($C$32="customer", MIN($C$65, ($C$25*24*$C$26*365)*(1-$C$31)), MIN($C$65, ($C$25*24*$C$26*365))*(1-$C$31))</f>
        <v>23333</v>
      </c>
      <c r="D19" s="9">
        <f>IF($C$32="customer", MIN($C$66, ($C$25*24*$C$26*365)*(1-$C$31)), MIN($C$66, ($C$25*24*$C$26*365))*(1-$C$31))</f>
        <v>31666</v>
      </c>
      <c r="E19" s="9">
        <f>IF($C$32="customer", MIN($C$67, ($C$25*24*$C$26*365)*(1-$C$31)), MIN($C$67, ($C$25*24*$C$26*365))*(1-$C$31))</f>
        <v>40000</v>
      </c>
      <c r="F19" s="9">
        <f>IF($C$32="customer", MIN($C$68, ($C$25*24*$C$26*365)*(1-$C$31)), MIN($C$68, ($C$25*24*$C$26*365))*(1-$C$31))</f>
        <v>48333</v>
      </c>
      <c r="G19" s="9">
        <f>IF($C$32="customer", MIN($C$69, ($C$25*24*$C$26*365)*(1-$C$31)), MIN($C$69, ($C$25*24*$C$26*365))*(1-$C$31))</f>
        <v>56666</v>
      </c>
      <c r="H19" s="9">
        <f>IF($C$32="customer", MIN($C$70, ($C$25*24*$C$26*365)*(1-$C$31)), MIN($C$70, ($C$25*24*$C$26*365))*(1-$C$31))</f>
        <v>65000</v>
      </c>
      <c r="I19" s="9">
        <f>IF($C$32="customer", MIN($C$71, ($C$25*24*$C$26*365)*(1-$C$31)), MIN($C$71, ($C$25*24*$C$26*365))*(1-$C$31))</f>
        <v>71376.479999999996</v>
      </c>
      <c r="J19" s="13">
        <f>IF($C$32="customer", MIN($C$72, ($C$25*24*$C$26*365)*(1-$C$31)), MIN($C$72, ($C$25*24*$C$26*365))*(1-$C$31))</f>
        <v>71376.479999999996</v>
      </c>
      <c r="K19" s="9">
        <f>IF($C$32="customer", MIN($C$73, ($C$25*24*$C$26*365)*(1-$C$31)), MIN($C$73, ($C$25*24*$C$26*365))*(1-$C$31))</f>
        <v>71376.479999999996</v>
      </c>
    </row>
    <row r="20" spans="1:11" ht="13.9" x14ac:dyDescent="0.4">
      <c r="A20" s="10" t="s">
        <v>362</v>
      </c>
      <c r="B20" s="9">
        <f>IF($C$32="customer", B19/(1-$C$31), MIN($C$64, ($C$25*24*$C$26*365)))</f>
        <v>15463.917525773197</v>
      </c>
      <c r="C20" s="9">
        <f>IF($C$32="customer", C19/(1-$C$31), MIN($C$65, ($C$25*24*$C$26*365)))</f>
        <v>24054.639175257733</v>
      </c>
      <c r="D20" s="9">
        <f>IF($C$32="customer", D19/(1-$C$31), MIN($C$66, ($C$25*24*$C$26*365)))</f>
        <v>32645.360824742267</v>
      </c>
      <c r="E20" s="9">
        <f>IF($C$32="customer", E19/(1-$C$31), MIN($C$67, ($C$25*24*$C$26*365)))</f>
        <v>41237.113402061856</v>
      </c>
      <c r="F20" s="9">
        <f>IF($C$32="customer", F19/(1-$C$31), MIN($C$68, ($C$25*24*$C$26*365)))</f>
        <v>49827.83505154639</v>
      </c>
      <c r="G20" s="9">
        <f>IF($C$32="customer", G19/(1-$C$31), MIN($C$69, ($C$25*24*$C$26*365)))</f>
        <v>58418.556701030931</v>
      </c>
      <c r="H20" s="9">
        <f>IF($C$32="customer", H19/(1-$C$31), MIN($C$70, ($C$25*24*$C$26*365)))</f>
        <v>67010.309278350513</v>
      </c>
      <c r="I20" s="9">
        <f>IF($C$32="customer", I19/(1-$C$31), MIN($C$71, ($C$25*24*$C$26*365)))</f>
        <v>73584</v>
      </c>
      <c r="J20" s="13">
        <f>IF($C$32="customer", J19/(1-$C$31), MIN($C$72, ($C$25*24*$C$26*365)))</f>
        <v>73584</v>
      </c>
      <c r="K20" s="9">
        <f>IF($C$32="customer", K19/(1-$C$31), MIN($C$73, ($C$25*24*$C$26*365)))</f>
        <v>73584</v>
      </c>
    </row>
    <row r="21" spans="1:11" ht="13.9" x14ac:dyDescent="0.4">
      <c r="A21" s="10" t="s">
        <v>361</v>
      </c>
      <c r="B21" s="9">
        <f>IF($C$32="customer", B19, B20)</f>
        <v>15000</v>
      </c>
      <c r="C21" s="9">
        <f>IF($C$32="customer", C19, C20)</f>
        <v>23333</v>
      </c>
      <c r="D21" s="9">
        <f>IF($C$32="customer", D19, D20)</f>
        <v>31666</v>
      </c>
      <c r="E21" s="9">
        <f>IF($C$32="customer", E19, E20)</f>
        <v>40000</v>
      </c>
      <c r="F21" s="9">
        <f>IF($C$32="customer", F19, F20)</f>
        <v>48333</v>
      </c>
      <c r="G21" s="9">
        <f>IF($C$32="customer", G19, G20)</f>
        <v>56666</v>
      </c>
      <c r="H21" s="9">
        <f>IF($C$32="customer", H19, H20)</f>
        <v>65000</v>
      </c>
      <c r="I21" s="9">
        <f>IF($C$32="customer", I19, I20)</f>
        <v>71376.479999999996</v>
      </c>
      <c r="J21" s="13">
        <f>IF($C$32="customer", J19, J20)</f>
        <v>71376.479999999996</v>
      </c>
      <c r="K21" s="9">
        <f>IF($C$32="customer", K19, K20)</f>
        <v>71376.479999999996</v>
      </c>
    </row>
    <row r="24" spans="1:11" ht="13.9" x14ac:dyDescent="0.4">
      <c r="A24" s="8" t="s">
        <v>185</v>
      </c>
      <c r="B24" s="8" t="s">
        <v>184</v>
      </c>
      <c r="C24" s="8" t="s">
        <v>183</v>
      </c>
      <c r="D24" s="8" t="s">
        <v>182</v>
      </c>
    </row>
    <row r="25" spans="1:11" ht="13.9" x14ac:dyDescent="0.4">
      <c r="A25" s="7" t="s">
        <v>360</v>
      </c>
      <c r="B25" s="7" t="s">
        <v>359</v>
      </c>
      <c r="C25" s="6">
        <v>12</v>
      </c>
      <c r="D25" s="7" t="s">
        <v>173</v>
      </c>
    </row>
    <row r="26" spans="1:11" ht="13.9" x14ac:dyDescent="0.4">
      <c r="A26" s="7" t="s">
        <v>358</v>
      </c>
      <c r="B26" s="7" t="s">
        <v>357</v>
      </c>
      <c r="C26" s="6">
        <v>0.7</v>
      </c>
      <c r="D26" s="7" t="s">
        <v>269</v>
      </c>
    </row>
    <row r="27" spans="1:11" ht="13.9" x14ac:dyDescent="0.4">
      <c r="A27" s="7" t="s">
        <v>356</v>
      </c>
      <c r="B27" s="7" t="s">
        <v>355</v>
      </c>
      <c r="C27" s="6">
        <v>290</v>
      </c>
      <c r="D27" s="7" t="s">
        <v>281</v>
      </c>
    </row>
    <row r="28" spans="1:11" ht="13.9" x14ac:dyDescent="0.4">
      <c r="A28" s="7" t="s">
        <v>354</v>
      </c>
      <c r="B28" s="7" t="s">
        <v>353</v>
      </c>
      <c r="C28" s="6">
        <v>4.0999999999999996</v>
      </c>
      <c r="D28" s="7" t="s">
        <v>352</v>
      </c>
    </row>
    <row r="29" spans="1:11" ht="13.9" x14ac:dyDescent="0.4">
      <c r="A29" s="7" t="s">
        <v>351</v>
      </c>
      <c r="B29" s="7" t="s">
        <v>350</v>
      </c>
      <c r="C29" s="6">
        <v>2.98</v>
      </c>
      <c r="D29" s="7" t="s">
        <v>349</v>
      </c>
    </row>
    <row r="30" spans="1:11" ht="13.9" x14ac:dyDescent="0.4">
      <c r="A30" s="7" t="s">
        <v>348</v>
      </c>
      <c r="B30" s="7" t="s">
        <v>347</v>
      </c>
      <c r="C30" s="6">
        <v>75</v>
      </c>
      <c r="D30" s="7" t="s">
        <v>346</v>
      </c>
    </row>
    <row r="31" spans="1:11" ht="13.9" x14ac:dyDescent="0.4">
      <c r="A31" s="7" t="s">
        <v>345</v>
      </c>
      <c r="B31" s="7" t="s">
        <v>344</v>
      </c>
      <c r="C31" s="6">
        <v>0.03</v>
      </c>
      <c r="D31" s="7" t="s">
        <v>269</v>
      </c>
    </row>
    <row r="32" spans="1:11" ht="13.9" x14ac:dyDescent="0.4">
      <c r="A32" s="7" t="s">
        <v>343</v>
      </c>
      <c r="B32" s="7" t="s">
        <v>342</v>
      </c>
      <c r="C32" s="6" t="s">
        <v>341</v>
      </c>
      <c r="D32" s="7" t="s">
        <v>340</v>
      </c>
    </row>
    <row r="33" spans="1:4" ht="13.9" x14ac:dyDescent="0.4">
      <c r="A33" s="7" t="s">
        <v>339</v>
      </c>
      <c r="B33" s="7" t="s">
        <v>338</v>
      </c>
      <c r="C33" s="6">
        <v>7.0000000000000007E-2</v>
      </c>
      <c r="D33" s="7"/>
    </row>
    <row r="34" spans="1:4" ht="13.9" x14ac:dyDescent="0.4">
      <c r="A34" s="7" t="s">
        <v>337</v>
      </c>
      <c r="B34" s="7" t="s">
        <v>336</v>
      </c>
      <c r="C34" s="6">
        <v>60000</v>
      </c>
      <c r="D34" s="7" t="s">
        <v>335</v>
      </c>
    </row>
    <row r="35" spans="1:4" ht="13.9" x14ac:dyDescent="0.4">
      <c r="A35" s="7" t="s">
        <v>334</v>
      </c>
      <c r="B35" s="7" t="s">
        <v>333</v>
      </c>
      <c r="C35" s="6">
        <v>4</v>
      </c>
      <c r="D35" s="7" t="s">
        <v>332</v>
      </c>
    </row>
    <row r="36" spans="1:4" ht="13.9" x14ac:dyDescent="0.4">
      <c r="A36" s="7" t="s">
        <v>331</v>
      </c>
      <c r="B36" s="7" t="s">
        <v>330</v>
      </c>
      <c r="C36" s="6">
        <v>5</v>
      </c>
      <c r="D36" s="7" t="s">
        <v>309</v>
      </c>
    </row>
    <row r="37" spans="1:4" ht="13.9" x14ac:dyDescent="0.4">
      <c r="A37" s="7" t="s">
        <v>329</v>
      </c>
      <c r="B37" s="7" t="s">
        <v>328</v>
      </c>
      <c r="C37" s="6">
        <v>651</v>
      </c>
      <c r="D37" s="7" t="s">
        <v>23</v>
      </c>
    </row>
    <row r="38" spans="1:4" ht="13.9" x14ac:dyDescent="0.4">
      <c r="A38" s="7" t="s">
        <v>327</v>
      </c>
      <c r="B38" s="7" t="s">
        <v>326</v>
      </c>
      <c r="C38" s="6" t="b">
        <v>1</v>
      </c>
      <c r="D38" s="7" t="s">
        <v>8</v>
      </c>
    </row>
    <row r="39" spans="1:4" ht="13.9" x14ac:dyDescent="0.4">
      <c r="A39" s="7" t="s">
        <v>325</v>
      </c>
      <c r="B39" s="7" t="s">
        <v>324</v>
      </c>
      <c r="C39" s="6">
        <v>0.6</v>
      </c>
      <c r="D39" s="7" t="s">
        <v>269</v>
      </c>
    </row>
    <row r="40" spans="1:4" ht="13.9" x14ac:dyDescent="0.4">
      <c r="A40" s="7" t="s">
        <v>323</v>
      </c>
      <c r="B40" s="7" t="s">
        <v>322</v>
      </c>
      <c r="C40" s="6">
        <v>102</v>
      </c>
      <c r="D40" s="7" t="s">
        <v>319</v>
      </c>
    </row>
    <row r="41" spans="1:4" ht="13.9" x14ac:dyDescent="0.4">
      <c r="A41" s="7" t="s">
        <v>321</v>
      </c>
      <c r="B41" s="7" t="s">
        <v>320</v>
      </c>
      <c r="C41" s="6">
        <v>15</v>
      </c>
      <c r="D41" s="7" t="s">
        <v>319</v>
      </c>
    </row>
    <row r="42" spans="1:4" ht="13.9" x14ac:dyDescent="0.4">
      <c r="A42" s="7" t="s">
        <v>318</v>
      </c>
      <c r="B42" s="7" t="s">
        <v>317</v>
      </c>
      <c r="C42" s="6">
        <v>0.05</v>
      </c>
      <c r="D42" s="7" t="s">
        <v>269</v>
      </c>
    </row>
    <row r="43" spans="1:4" ht="13.9" x14ac:dyDescent="0.4">
      <c r="A43" s="7" t="s">
        <v>316</v>
      </c>
      <c r="B43" s="7" t="s">
        <v>315</v>
      </c>
      <c r="C43" s="6">
        <v>0.03</v>
      </c>
      <c r="D43" s="7" t="s">
        <v>269</v>
      </c>
    </row>
    <row r="44" spans="1:4" ht="13.9" x14ac:dyDescent="0.4">
      <c r="A44" s="7" t="s">
        <v>314</v>
      </c>
      <c r="B44" s="7" t="s">
        <v>313</v>
      </c>
      <c r="C44" s="6">
        <v>1</v>
      </c>
      <c r="D44" s="7" t="s">
        <v>312</v>
      </c>
    </row>
    <row r="45" spans="1:4" ht="13.9" x14ac:dyDescent="0.4">
      <c r="A45" s="7" t="s">
        <v>311</v>
      </c>
      <c r="B45" s="7" t="s">
        <v>310</v>
      </c>
      <c r="C45" s="6">
        <v>10</v>
      </c>
      <c r="D45" s="7" t="s">
        <v>309</v>
      </c>
    </row>
    <row r="46" spans="1:4" ht="13.9" x14ac:dyDescent="0.4">
      <c r="A46" s="7" t="s">
        <v>308</v>
      </c>
      <c r="B46" s="7" t="s">
        <v>307</v>
      </c>
      <c r="C46" s="6">
        <v>4.0999999999999996</v>
      </c>
      <c r="D46" s="7" t="s">
        <v>281</v>
      </c>
    </row>
    <row r="47" spans="1:4" ht="13.9" x14ac:dyDescent="0.4">
      <c r="A47" s="7" t="s">
        <v>306</v>
      </c>
      <c r="B47" s="7" t="s">
        <v>305</v>
      </c>
      <c r="C47" s="6">
        <v>3</v>
      </c>
      <c r="D47" s="7" t="s">
        <v>281</v>
      </c>
    </row>
    <row r="48" spans="1:4" ht="13.9" x14ac:dyDescent="0.4">
      <c r="A48" s="7" t="s">
        <v>304</v>
      </c>
      <c r="B48" s="7" t="s">
        <v>303</v>
      </c>
      <c r="C48" s="6">
        <v>1.5</v>
      </c>
      <c r="D48" s="7" t="s">
        <v>281</v>
      </c>
    </row>
    <row r="49" spans="1:4" ht="13.9" x14ac:dyDescent="0.4">
      <c r="A49" s="7" t="s">
        <v>302</v>
      </c>
      <c r="B49" s="7" t="s">
        <v>301</v>
      </c>
      <c r="C49" s="6">
        <v>0.9</v>
      </c>
      <c r="D49" s="7"/>
    </row>
    <row r="50" spans="1:4" ht="13.9" x14ac:dyDescent="0.4">
      <c r="A50" s="7" t="s">
        <v>300</v>
      </c>
      <c r="B50" s="7" t="s">
        <v>299</v>
      </c>
      <c r="C50" s="6">
        <v>35</v>
      </c>
      <c r="D50" s="7" t="s">
        <v>298</v>
      </c>
    </row>
    <row r="51" spans="1:4" ht="13.9" x14ac:dyDescent="0.4">
      <c r="A51" s="7" t="s">
        <v>297</v>
      </c>
      <c r="B51" s="7" t="s">
        <v>296</v>
      </c>
      <c r="C51" s="6">
        <v>0.85</v>
      </c>
      <c r="D51" s="7" t="s">
        <v>269</v>
      </c>
    </row>
    <row r="52" spans="1:4" ht="13.9" x14ac:dyDescent="0.4">
      <c r="A52" s="7" t="s">
        <v>295</v>
      </c>
      <c r="B52" s="7" t="s">
        <v>294</v>
      </c>
      <c r="C52" s="6">
        <v>4.1900000000000004</v>
      </c>
      <c r="D52" s="7" t="s">
        <v>293</v>
      </c>
    </row>
    <row r="53" spans="1:4" ht="13.9" x14ac:dyDescent="0.4">
      <c r="A53" s="7" t="s">
        <v>292</v>
      </c>
      <c r="B53" s="7" t="s">
        <v>291</v>
      </c>
      <c r="C53" s="6">
        <v>2201</v>
      </c>
      <c r="D53" s="7" t="s">
        <v>290</v>
      </c>
    </row>
    <row r="54" spans="1:4" ht="13.9" x14ac:dyDescent="0.4">
      <c r="A54" s="7" t="s">
        <v>289</v>
      </c>
      <c r="B54" s="7" t="s">
        <v>288</v>
      </c>
      <c r="C54" s="6">
        <v>0.1</v>
      </c>
      <c r="D54" s="7"/>
    </row>
    <row r="55" spans="1:4" ht="13.9" x14ac:dyDescent="0.4">
      <c r="A55" s="7" t="s">
        <v>287</v>
      </c>
      <c r="B55" s="7" t="s">
        <v>286</v>
      </c>
      <c r="C55" s="6" t="b">
        <v>0</v>
      </c>
      <c r="D55" s="7" t="s">
        <v>8</v>
      </c>
    </row>
    <row r="56" spans="1:4" ht="13.9" x14ac:dyDescent="0.4">
      <c r="A56" s="7" t="s">
        <v>285</v>
      </c>
      <c r="B56" s="7" t="s">
        <v>284</v>
      </c>
      <c r="C56" s="6">
        <v>4</v>
      </c>
      <c r="D56" s="7" t="s">
        <v>281</v>
      </c>
    </row>
    <row r="57" spans="1:4" ht="13.9" x14ac:dyDescent="0.4">
      <c r="A57" s="7" t="s">
        <v>283</v>
      </c>
      <c r="B57" s="7" t="s">
        <v>282</v>
      </c>
      <c r="C57" s="6">
        <v>15</v>
      </c>
      <c r="D57" s="7" t="s">
        <v>281</v>
      </c>
    </row>
    <row r="58" spans="1:4" ht="13.9" x14ac:dyDescent="0.4">
      <c r="A58" s="7" t="s">
        <v>280</v>
      </c>
      <c r="B58" s="7" t="s">
        <v>279</v>
      </c>
      <c r="C58" s="6">
        <v>0.35</v>
      </c>
      <c r="D58" s="7" t="s">
        <v>269</v>
      </c>
    </row>
    <row r="59" spans="1:4" ht="13.9" x14ac:dyDescent="0.4">
      <c r="A59" s="7" t="s">
        <v>278</v>
      </c>
      <c r="B59" s="7" t="s">
        <v>277</v>
      </c>
      <c r="C59" s="6" t="s">
        <v>276</v>
      </c>
      <c r="D59" s="7" t="s">
        <v>275</v>
      </c>
    </row>
    <row r="60" spans="1:4" ht="13.9" x14ac:dyDescent="0.4">
      <c r="A60" s="7" t="s">
        <v>274</v>
      </c>
      <c r="B60" s="7" t="s">
        <v>273</v>
      </c>
      <c r="C60" s="6">
        <v>15</v>
      </c>
      <c r="D60" s="7" t="s">
        <v>272</v>
      </c>
    </row>
    <row r="61" spans="1:4" ht="13.9" x14ac:dyDescent="0.4">
      <c r="A61" s="7" t="s">
        <v>271</v>
      </c>
      <c r="B61" s="7" t="s">
        <v>270</v>
      </c>
      <c r="C61" s="6">
        <v>0.1</v>
      </c>
      <c r="D61" s="7" t="s">
        <v>269</v>
      </c>
    </row>
    <row r="62" spans="1:4" ht="13.9" x14ac:dyDescent="0.4">
      <c r="A62" s="7" t="s">
        <v>268</v>
      </c>
      <c r="B62" s="7" t="s">
        <v>267</v>
      </c>
      <c r="C62" s="6">
        <v>15</v>
      </c>
      <c r="D62" s="7" t="s">
        <v>266</v>
      </c>
    </row>
    <row r="63" spans="1:4" ht="13.9" x14ac:dyDescent="0.4">
      <c r="A63" s="7" t="s">
        <v>265</v>
      </c>
      <c r="B63" s="7" t="s">
        <v>264</v>
      </c>
      <c r="C63" s="6">
        <v>0.09</v>
      </c>
      <c r="D63" s="7"/>
    </row>
    <row r="64" spans="1:4" ht="13.9" x14ac:dyDescent="0.4">
      <c r="A64" s="7" t="s">
        <v>263</v>
      </c>
      <c r="B64" s="7" t="s">
        <v>262</v>
      </c>
      <c r="C64" s="6">
        <v>15000</v>
      </c>
      <c r="D64" s="7" t="s">
        <v>243</v>
      </c>
    </row>
    <row r="65" spans="1:4" ht="13.9" x14ac:dyDescent="0.4">
      <c r="A65" s="7" t="s">
        <v>261</v>
      </c>
      <c r="B65" s="7" t="s">
        <v>260</v>
      </c>
      <c r="C65" s="6">
        <v>23333</v>
      </c>
      <c r="D65" s="7" t="s">
        <v>243</v>
      </c>
    </row>
    <row r="66" spans="1:4" ht="13.9" x14ac:dyDescent="0.4">
      <c r="A66" s="7" t="s">
        <v>259</v>
      </c>
      <c r="B66" s="7" t="s">
        <v>258</v>
      </c>
      <c r="C66" s="6">
        <v>31666</v>
      </c>
      <c r="D66" s="7" t="s">
        <v>243</v>
      </c>
    </row>
    <row r="67" spans="1:4" ht="13.9" x14ac:dyDescent="0.4">
      <c r="A67" s="7" t="s">
        <v>257</v>
      </c>
      <c r="B67" s="7" t="s">
        <v>256</v>
      </c>
      <c r="C67" s="6">
        <v>40000</v>
      </c>
      <c r="D67" s="7" t="s">
        <v>243</v>
      </c>
    </row>
    <row r="68" spans="1:4" ht="13.9" x14ac:dyDescent="0.4">
      <c r="A68" s="7" t="s">
        <v>255</v>
      </c>
      <c r="B68" s="7" t="s">
        <v>254</v>
      </c>
      <c r="C68" s="6">
        <v>48333</v>
      </c>
      <c r="D68" s="7" t="s">
        <v>243</v>
      </c>
    </row>
    <row r="69" spans="1:4" ht="13.9" x14ac:dyDescent="0.4">
      <c r="A69" s="7" t="s">
        <v>253</v>
      </c>
      <c r="B69" s="7" t="s">
        <v>252</v>
      </c>
      <c r="C69" s="6">
        <v>56666</v>
      </c>
      <c r="D69" s="7" t="s">
        <v>243</v>
      </c>
    </row>
    <row r="70" spans="1:4" ht="13.9" x14ac:dyDescent="0.4">
      <c r="A70" s="7" t="s">
        <v>251</v>
      </c>
      <c r="B70" s="7" t="s">
        <v>250</v>
      </c>
      <c r="C70" s="6">
        <v>65000</v>
      </c>
      <c r="D70" s="7" t="s">
        <v>243</v>
      </c>
    </row>
    <row r="71" spans="1:4" ht="13.9" x14ac:dyDescent="0.4">
      <c r="A71" s="7" t="s">
        <v>249</v>
      </c>
      <c r="B71" s="7" t="s">
        <v>248</v>
      </c>
      <c r="C71" s="6">
        <v>73333</v>
      </c>
      <c r="D71" s="7" t="s">
        <v>243</v>
      </c>
    </row>
    <row r="72" spans="1:4" ht="13.9" x14ac:dyDescent="0.4">
      <c r="A72" s="7" t="s">
        <v>247</v>
      </c>
      <c r="B72" s="7" t="s">
        <v>246</v>
      </c>
      <c r="C72" s="6">
        <v>81666</v>
      </c>
      <c r="D72" s="7" t="s">
        <v>243</v>
      </c>
    </row>
    <row r="73" spans="1:4" ht="13.9" x14ac:dyDescent="0.4">
      <c r="A73" s="7" t="s">
        <v>245</v>
      </c>
      <c r="B73" s="7" t="s">
        <v>244</v>
      </c>
      <c r="C73" s="6">
        <v>90000</v>
      </c>
      <c r="D73" s="7" t="s">
        <v>243</v>
      </c>
    </row>
    <row r="76" spans="1:4" ht="13.9" hidden="1" x14ac:dyDescent="0.4">
      <c r="A76" t="s">
        <v>242</v>
      </c>
    </row>
    <row r="77" spans="1:4" ht="13.9" hidden="1" x14ac:dyDescent="0.4">
      <c r="A77" t="s">
        <v>232</v>
      </c>
      <c r="B77">
        <f>-$C$37</f>
        <v>-651</v>
      </c>
    </row>
    <row r="78" spans="1:4" ht="13.9" hidden="1" x14ac:dyDescent="0.4">
      <c r="A78" t="s">
        <v>231</v>
      </c>
      <c r="B78">
        <f>IF($C$60&gt;=1,IF($C$60=1,B13+$C$37*$C$61,B13),"")</f>
        <v>56.2</v>
      </c>
    </row>
    <row r="79" spans="1:4" ht="13.9" hidden="1" x14ac:dyDescent="0.4">
      <c r="A79" t="s">
        <v>230</v>
      </c>
      <c r="B79">
        <f>IF($C$60&gt;=2,IF($C$60=2,B13+$C$37*$C$61,B13),"")</f>
        <v>56.2</v>
      </c>
    </row>
    <row r="80" spans="1:4" ht="13.9" hidden="1" x14ac:dyDescent="0.4">
      <c r="A80" t="s">
        <v>229</v>
      </c>
      <c r="B80">
        <f>IF($C$60&gt;=3,IF($C$60=3,B13+$C$37*$C$61,B13),"")</f>
        <v>56.2</v>
      </c>
    </row>
    <row r="81" spans="1:2" ht="13.9" hidden="1" x14ac:dyDescent="0.4">
      <c r="A81" t="s">
        <v>228</v>
      </c>
      <c r="B81">
        <f>IF($C$60&gt;=4,IF($C$60=4,B13+$C$37*$C$61,B13),"")</f>
        <v>56.2</v>
      </c>
    </row>
    <row r="82" spans="1:2" ht="13.9" hidden="1" x14ac:dyDescent="0.4">
      <c r="A82" t="s">
        <v>227</v>
      </c>
      <c r="B82">
        <f>IF($C$60&gt;=5,IF($C$60=5,B13+$C$37*$C$61,B13),"")</f>
        <v>56.2</v>
      </c>
    </row>
    <row r="83" spans="1:2" ht="13.9" hidden="1" x14ac:dyDescent="0.4">
      <c r="A83" t="s">
        <v>226</v>
      </c>
      <c r="B83">
        <f>IF($C$60&gt;=6,IF($C$60=6,B13+$C$37*$C$61,B13),"")</f>
        <v>56.2</v>
      </c>
    </row>
    <row r="84" spans="1:2" ht="13.9" hidden="1" x14ac:dyDescent="0.4">
      <c r="A84" t="s">
        <v>225</v>
      </c>
      <c r="B84">
        <f>IF($C$60&gt;=7,IF($C$60=7,B13+$C$37*$C$61,B13),"")</f>
        <v>56.2</v>
      </c>
    </row>
    <row r="85" spans="1:2" ht="13.9" hidden="1" x14ac:dyDescent="0.4">
      <c r="A85" t="s">
        <v>224</v>
      </c>
      <c r="B85">
        <f>IF($C$60&gt;=8,IF($C$60=8,B13+$C$37*$C$61,B13),"")</f>
        <v>56.2</v>
      </c>
    </row>
    <row r="86" spans="1:2" ht="13.9" hidden="1" x14ac:dyDescent="0.4">
      <c r="A86" t="s">
        <v>223</v>
      </c>
      <c r="B86">
        <f>IF($C$60&gt;=9,IF($C$60=9,B13+$C$37*$C$61,B13),"")</f>
        <v>56.2</v>
      </c>
    </row>
    <row r="87" spans="1:2" ht="13.9" hidden="1" x14ac:dyDescent="0.4">
      <c r="A87" t="s">
        <v>222</v>
      </c>
      <c r="B87">
        <f>IF($C$60&gt;=10,IF($C$60=10,B13+$C$37*$C$61,B13),"")</f>
        <v>56.2</v>
      </c>
    </row>
    <row r="88" spans="1:2" ht="13.9" hidden="1" x14ac:dyDescent="0.4">
      <c r="A88" t="s">
        <v>221</v>
      </c>
      <c r="B88">
        <f>IF($C$60&gt;=11,IF($C$60=11,B13+$C$37*$C$61,B13),"")</f>
        <v>56.2</v>
      </c>
    </row>
    <row r="89" spans="1:2" ht="13.9" hidden="1" x14ac:dyDescent="0.4">
      <c r="A89" t="s">
        <v>220</v>
      </c>
      <c r="B89">
        <f>IF($C$60&gt;=12,IF($C$60=12,B13+$C$37*$C$61,B13),"")</f>
        <v>56.2</v>
      </c>
    </row>
    <row r="90" spans="1:2" ht="13.9" hidden="1" x14ac:dyDescent="0.4">
      <c r="A90" t="s">
        <v>219</v>
      </c>
      <c r="B90">
        <f>IF($C$60&gt;=13,IF($C$60=13,B13+$C$37*$C$61,B13),"")</f>
        <v>56.2</v>
      </c>
    </row>
    <row r="91" spans="1:2" ht="13.9" hidden="1" x14ac:dyDescent="0.4">
      <c r="A91" t="s">
        <v>218</v>
      </c>
      <c r="B91">
        <f>IF($C$60&gt;=14,IF($C$60=14,B13+$C$37*$C$61,B13),"")</f>
        <v>56.2</v>
      </c>
    </row>
    <row r="92" spans="1:2" ht="13.9" hidden="1" x14ac:dyDescent="0.4">
      <c r="A92" t="s">
        <v>217</v>
      </c>
      <c r="B92">
        <f>IF($C$60&gt;=15,IF($C$60=15,B13+$C$37*$C$61,B13),"")</f>
        <v>121.30000000000001</v>
      </c>
    </row>
    <row r="93" spans="1:2" ht="13.9" hidden="1" x14ac:dyDescent="0.4">
      <c r="A93" t="s">
        <v>394</v>
      </c>
      <c r="B93" t="str">
        <f>IF($C$60&gt;=16,IF($C$60=16,B13+$C$37*$C$61,B13),"")</f>
        <v/>
      </c>
    </row>
    <row r="94" spans="1:2" ht="13.9" hidden="1" x14ac:dyDescent="0.4">
      <c r="A94" t="s">
        <v>393</v>
      </c>
      <c r="B94" t="str">
        <f>IF($C$60&gt;=17,IF($C$60=17,B13+$C$37*$C$61,B13),"")</f>
        <v/>
      </c>
    </row>
    <row r="95" spans="1:2" ht="13.9" hidden="1" x14ac:dyDescent="0.4">
      <c r="A95" t="s">
        <v>392</v>
      </c>
      <c r="B95" t="str">
        <f>IF($C$60&gt;=18,IF($C$60=18,B13+$C$37*$C$61,B13),"")</f>
        <v/>
      </c>
    </row>
    <row r="96" spans="1:2" ht="13.9" hidden="1" x14ac:dyDescent="0.4">
      <c r="A96" t="s">
        <v>391</v>
      </c>
      <c r="B96" t="str">
        <f>IF($C$60&gt;=19,IF($C$60=19,B13+$C$37*$C$61,B13),"")</f>
        <v/>
      </c>
    </row>
    <row r="97" spans="1:2" ht="13.9" hidden="1" x14ac:dyDescent="0.4">
      <c r="A97" t="s">
        <v>390</v>
      </c>
      <c r="B97" t="str">
        <f>IF($C$60&gt;=20,IF($C$60=20,B13+$C$37*$C$61,B13),"")</f>
        <v/>
      </c>
    </row>
    <row r="98" spans="1:2" ht="13.9" hidden="1" x14ac:dyDescent="0.4">
      <c r="A98" t="s">
        <v>389</v>
      </c>
      <c r="B98" t="str">
        <f>IF($C$60&gt;=21,IF($C$60=21,B13+$C$37*$C$61,B13),"")</f>
        <v/>
      </c>
    </row>
    <row r="99" spans="1:2" ht="13.9" hidden="1" x14ac:dyDescent="0.4">
      <c r="A99" t="s">
        <v>388</v>
      </c>
      <c r="B99" t="str">
        <f>IF($C$60&gt;=22,IF($C$60=22,B13+$C$37*$C$61,B13),"")</f>
        <v/>
      </c>
    </row>
    <row r="100" spans="1:2" ht="13.9" hidden="1" x14ac:dyDescent="0.4">
      <c r="A100" t="s">
        <v>387</v>
      </c>
      <c r="B100" t="str">
        <f>IF($C$60&gt;=23,IF($C$60=23,B13+$C$37*$C$61,B13),"")</f>
        <v/>
      </c>
    </row>
    <row r="101" spans="1:2" ht="13.9" hidden="1" x14ac:dyDescent="0.4">
      <c r="A101" t="s">
        <v>386</v>
      </c>
      <c r="B101" t="str">
        <f>IF($C$60&gt;=24,IF($C$60=24,B13+$C$37*$C$61,B13),"")</f>
        <v/>
      </c>
    </row>
    <row r="102" spans="1:2" ht="13.9" hidden="1" x14ac:dyDescent="0.4">
      <c r="A102" t="s">
        <v>385</v>
      </c>
      <c r="B102" t="str">
        <f>IF($C$60&gt;=25,IF($C$60=25,B13+$C$37*$C$61,B13),"")</f>
        <v/>
      </c>
    </row>
    <row r="103" spans="1:2" ht="13.9" hidden="1" x14ac:dyDescent="0.4">
      <c r="A103" t="s">
        <v>384</v>
      </c>
      <c r="B103" t="str">
        <f>IF($C$60&gt;=26,IF($C$60=26,B13+$C$37*$C$61,B13),"")</f>
        <v/>
      </c>
    </row>
    <row r="104" spans="1:2" ht="13.9" hidden="1" x14ac:dyDescent="0.4">
      <c r="A104" t="s">
        <v>383</v>
      </c>
      <c r="B104" t="str">
        <f>IF($C$60&gt;=27,IF($C$60=27,B13+$C$37*$C$61,B13),"")</f>
        <v/>
      </c>
    </row>
    <row r="105" spans="1:2" ht="13.9" hidden="1" x14ac:dyDescent="0.4">
      <c r="A105" t="s">
        <v>382</v>
      </c>
      <c r="B105" t="str">
        <f>IF($C$60&gt;=28,IF($C$60=28,B13+$C$37*$C$61,B13),"")</f>
        <v/>
      </c>
    </row>
    <row r="106" spans="1:2" ht="13.9" hidden="1" x14ac:dyDescent="0.4">
      <c r="A106" t="s">
        <v>381</v>
      </c>
      <c r="B106" t="str">
        <f>IF($C$60&gt;=29,IF($C$60=29,B13+$C$37*$C$61,B13),"")</f>
        <v/>
      </c>
    </row>
    <row r="107" spans="1:2" ht="13.9" hidden="1" x14ac:dyDescent="0.4">
      <c r="A107" t="s">
        <v>380</v>
      </c>
      <c r="B107" t="str">
        <f>IF($C$60&gt;=30,IF($C$60=30,B13+$C$37*$C$61,B13),"")</f>
        <v/>
      </c>
    </row>
    <row r="108" spans="1:2" ht="13.9" hidden="1" x14ac:dyDescent="0.4">
      <c r="A108" t="s">
        <v>379</v>
      </c>
      <c r="B108" t="str">
        <f>IF($C$60&gt;=31,IF($C$60=31,B13+$C$37*$C$61,B13),"")</f>
        <v/>
      </c>
    </row>
    <row r="109" spans="1:2" ht="13.9" hidden="1" x14ac:dyDescent="0.4">
      <c r="A109" t="s">
        <v>378</v>
      </c>
      <c r="B109" t="str">
        <f>IF($C$60&gt;=32,IF($C$60=32,B13+$C$37*$C$61,B13),"")</f>
        <v/>
      </c>
    </row>
    <row r="110" spans="1:2" ht="13.9" hidden="1" x14ac:dyDescent="0.4">
      <c r="A110" t="s">
        <v>377</v>
      </c>
      <c r="B110" t="str">
        <f>IF($C$60&gt;=33,IF($C$60=33,B13+$C$37*$C$61,B13),"")</f>
        <v/>
      </c>
    </row>
    <row r="111" spans="1:2" ht="13.9" hidden="1" x14ac:dyDescent="0.4">
      <c r="A111" t="s">
        <v>376</v>
      </c>
      <c r="B111" t="str">
        <f>IF($C$60&gt;=34,IF($C$60=34,B13+$C$37*$C$61,B13),"")</f>
        <v/>
      </c>
    </row>
    <row r="112" spans="1:2" ht="13.9" hidden="1" x14ac:dyDescent="0.4">
      <c r="A112" t="s">
        <v>375</v>
      </c>
      <c r="B112" t="str">
        <f>IF($C$60&gt;=35,IF($C$60=35,B13+$C$37*$C$61,B13),"")</f>
        <v/>
      </c>
    </row>
    <row r="113" spans="1:2" ht="13.9" hidden="1" x14ac:dyDescent="0.4">
      <c r="A113" t="s">
        <v>374</v>
      </c>
      <c r="B113" t="str">
        <f>IF($C$60&gt;=36,IF($C$60=36,B13+$C$37*$C$61,B13),"")</f>
        <v/>
      </c>
    </row>
    <row r="114" spans="1:2" ht="13.9" hidden="1" x14ac:dyDescent="0.4">
      <c r="A114" t="s">
        <v>373</v>
      </c>
      <c r="B114" t="str">
        <f>IF($C$60&gt;=37,IF($C$60=37,B13+$C$37*$C$61,B13),"")</f>
        <v/>
      </c>
    </row>
    <row r="115" spans="1:2" ht="13.9" hidden="1" x14ac:dyDescent="0.4">
      <c r="A115" t="s">
        <v>372</v>
      </c>
      <c r="B115" t="str">
        <f>IF($C$60&gt;=38,IF($C$60=38,B13+$C$37*$C$61,B13),"")</f>
        <v/>
      </c>
    </row>
    <row r="116" spans="1:2" ht="13.9" hidden="1" x14ac:dyDescent="0.4">
      <c r="A116" t="s">
        <v>371</v>
      </c>
      <c r="B116" t="str">
        <f>IF($C$60&gt;=39,IF($C$60=39,B13+$C$37*$C$61,B13),"")</f>
        <v/>
      </c>
    </row>
    <row r="117" spans="1:2" ht="13.9" hidden="1" x14ac:dyDescent="0.4">
      <c r="A117" t="s">
        <v>370</v>
      </c>
      <c r="B117" t="str">
        <f>IF($C$60&gt;=40,IF($C$60=40,B13+$C$37*$C$61,B13),"")</f>
        <v/>
      </c>
    </row>
    <row r="119" spans="1:2" ht="13.9" hidden="1" x14ac:dyDescent="0.4">
      <c r="A119" t="s">
        <v>241</v>
      </c>
    </row>
    <row r="120" spans="1:2" ht="13.9" hidden="1" x14ac:dyDescent="0.4">
      <c r="A120" t="s">
        <v>232</v>
      </c>
      <c r="B120">
        <f>-$C$37</f>
        <v>-651</v>
      </c>
    </row>
    <row r="121" spans="1:2" ht="13.9" hidden="1" x14ac:dyDescent="0.4">
      <c r="A121" t="s">
        <v>231</v>
      </c>
      <c r="B121">
        <f>IF($C$60&gt;=1,IF($C$60=1,C13+$C$37*$C$61,C13),"")</f>
        <v>134.41</v>
      </c>
    </row>
    <row r="122" spans="1:2" ht="13.9" hidden="1" x14ac:dyDescent="0.4">
      <c r="A122" t="s">
        <v>230</v>
      </c>
      <c r="B122">
        <f>IF($C$60&gt;=2,IF($C$60=2,C13+$C$37*$C$61,C13),"")</f>
        <v>134.41</v>
      </c>
    </row>
    <row r="123" spans="1:2" ht="13.9" hidden="1" x14ac:dyDescent="0.4">
      <c r="A123" t="s">
        <v>229</v>
      </c>
      <c r="B123">
        <f>IF($C$60&gt;=3,IF($C$60=3,C13+$C$37*$C$61,C13),"")</f>
        <v>134.41</v>
      </c>
    </row>
    <row r="124" spans="1:2" ht="13.9" hidden="1" x14ac:dyDescent="0.4">
      <c r="A124" t="s">
        <v>228</v>
      </c>
      <c r="B124">
        <f>IF($C$60&gt;=4,IF($C$60=4,C13+$C$37*$C$61,C13),"")</f>
        <v>134.41</v>
      </c>
    </row>
    <row r="125" spans="1:2" ht="13.9" hidden="1" x14ac:dyDescent="0.4">
      <c r="A125" t="s">
        <v>227</v>
      </c>
      <c r="B125">
        <f>IF($C$60&gt;=5,IF($C$60=5,C13+$C$37*$C$61,C13),"")</f>
        <v>134.41</v>
      </c>
    </row>
    <row r="126" spans="1:2" ht="13.9" hidden="1" x14ac:dyDescent="0.4">
      <c r="A126" t="s">
        <v>226</v>
      </c>
      <c r="B126">
        <f>IF($C$60&gt;=6,IF($C$60=6,C13+$C$37*$C$61,C13),"")</f>
        <v>134.41</v>
      </c>
    </row>
    <row r="127" spans="1:2" ht="13.9" hidden="1" x14ac:dyDescent="0.4">
      <c r="A127" t="s">
        <v>225</v>
      </c>
      <c r="B127">
        <f>IF($C$60&gt;=7,IF($C$60=7,C13+$C$37*$C$61,C13),"")</f>
        <v>134.41</v>
      </c>
    </row>
    <row r="128" spans="1:2" ht="13.9" hidden="1" x14ac:dyDescent="0.4">
      <c r="A128" t="s">
        <v>224</v>
      </c>
      <c r="B128">
        <f>IF($C$60&gt;=8,IF($C$60=8,C13+$C$37*$C$61,C13),"")</f>
        <v>134.41</v>
      </c>
    </row>
    <row r="129" spans="1:2" ht="13.9" hidden="1" x14ac:dyDescent="0.4">
      <c r="A129" t="s">
        <v>223</v>
      </c>
      <c r="B129">
        <f>IF($C$60&gt;=9,IF($C$60=9,C13+$C$37*$C$61,C13),"")</f>
        <v>134.41</v>
      </c>
    </row>
    <row r="130" spans="1:2" ht="13.9" hidden="1" x14ac:dyDescent="0.4">
      <c r="A130" t="s">
        <v>222</v>
      </c>
      <c r="B130">
        <f>IF($C$60&gt;=10,IF($C$60=10,C13+$C$37*$C$61,C13),"")</f>
        <v>134.41</v>
      </c>
    </row>
    <row r="131" spans="1:2" ht="13.9" hidden="1" x14ac:dyDescent="0.4">
      <c r="A131" t="s">
        <v>221</v>
      </c>
      <c r="B131">
        <f>IF($C$60&gt;=11,IF($C$60=11,C13+$C$37*$C$61,C13),"")</f>
        <v>134.41</v>
      </c>
    </row>
    <row r="132" spans="1:2" ht="13.9" hidden="1" x14ac:dyDescent="0.4">
      <c r="A132" t="s">
        <v>220</v>
      </c>
      <c r="B132">
        <f>IF($C$60&gt;=12,IF($C$60=12,C13+$C$37*$C$61,C13),"")</f>
        <v>134.41</v>
      </c>
    </row>
    <row r="133" spans="1:2" ht="13.9" hidden="1" x14ac:dyDescent="0.4">
      <c r="A133" t="s">
        <v>219</v>
      </c>
      <c r="B133">
        <f>IF($C$60&gt;=13,IF($C$60=13,C13+$C$37*$C$61,C13),"")</f>
        <v>134.41</v>
      </c>
    </row>
    <row r="134" spans="1:2" ht="13.9" hidden="1" x14ac:dyDescent="0.4">
      <c r="A134" t="s">
        <v>218</v>
      </c>
      <c r="B134">
        <f>IF($C$60&gt;=14,IF($C$60=14,C13+$C$37*$C$61,C13),"")</f>
        <v>134.41</v>
      </c>
    </row>
    <row r="135" spans="1:2" ht="13.9" hidden="1" x14ac:dyDescent="0.4">
      <c r="A135" t="s">
        <v>217</v>
      </c>
      <c r="B135">
        <f>IF($C$60&gt;=15,IF($C$60=15,C13+$C$37*$C$61,C13),"")</f>
        <v>199.51</v>
      </c>
    </row>
    <row r="136" spans="1:2" ht="13.9" hidden="1" x14ac:dyDescent="0.4">
      <c r="A136" t="s">
        <v>394</v>
      </c>
      <c r="B136" t="str">
        <f>IF($C$60&gt;=16,IF($C$60=16,C13+$C$37*$C$61,C13),"")</f>
        <v/>
      </c>
    </row>
    <row r="137" spans="1:2" ht="13.9" hidden="1" x14ac:dyDescent="0.4">
      <c r="A137" t="s">
        <v>393</v>
      </c>
      <c r="B137" t="str">
        <f>IF($C$60&gt;=17,IF($C$60=17,C13+$C$37*$C$61,C13),"")</f>
        <v/>
      </c>
    </row>
    <row r="138" spans="1:2" ht="13.9" hidden="1" x14ac:dyDescent="0.4">
      <c r="A138" t="s">
        <v>392</v>
      </c>
      <c r="B138" t="str">
        <f>IF($C$60&gt;=18,IF($C$60=18,C13+$C$37*$C$61,C13),"")</f>
        <v/>
      </c>
    </row>
    <row r="139" spans="1:2" ht="13.9" hidden="1" x14ac:dyDescent="0.4">
      <c r="A139" t="s">
        <v>391</v>
      </c>
      <c r="B139" t="str">
        <f>IF($C$60&gt;=19,IF($C$60=19,C13+$C$37*$C$61,C13),"")</f>
        <v/>
      </c>
    </row>
    <row r="140" spans="1:2" ht="13.9" hidden="1" x14ac:dyDescent="0.4">
      <c r="A140" t="s">
        <v>390</v>
      </c>
      <c r="B140" t="str">
        <f>IF($C$60&gt;=20,IF($C$60=20,C13+$C$37*$C$61,C13),"")</f>
        <v/>
      </c>
    </row>
    <row r="141" spans="1:2" ht="13.9" hidden="1" x14ac:dyDescent="0.4">
      <c r="A141" t="s">
        <v>389</v>
      </c>
      <c r="B141" t="str">
        <f>IF($C$60&gt;=21,IF($C$60=21,C13+$C$37*$C$61,C13),"")</f>
        <v/>
      </c>
    </row>
    <row r="142" spans="1:2" ht="13.9" hidden="1" x14ac:dyDescent="0.4">
      <c r="A142" t="s">
        <v>388</v>
      </c>
      <c r="B142" t="str">
        <f>IF($C$60&gt;=22,IF($C$60=22,C13+$C$37*$C$61,C13),"")</f>
        <v/>
      </c>
    </row>
    <row r="143" spans="1:2" ht="13.9" hidden="1" x14ac:dyDescent="0.4">
      <c r="A143" t="s">
        <v>387</v>
      </c>
      <c r="B143" t="str">
        <f>IF($C$60&gt;=23,IF($C$60=23,C13+$C$37*$C$61,C13),"")</f>
        <v/>
      </c>
    </row>
    <row r="144" spans="1:2" ht="13.9" hidden="1" x14ac:dyDescent="0.4">
      <c r="A144" t="s">
        <v>386</v>
      </c>
      <c r="B144" t="str">
        <f>IF($C$60&gt;=24,IF($C$60=24,C13+$C$37*$C$61,C13),"")</f>
        <v/>
      </c>
    </row>
    <row r="145" spans="1:2" ht="13.9" hidden="1" x14ac:dyDescent="0.4">
      <c r="A145" t="s">
        <v>385</v>
      </c>
      <c r="B145" t="str">
        <f>IF($C$60&gt;=25,IF($C$60=25,C13+$C$37*$C$61,C13),"")</f>
        <v/>
      </c>
    </row>
    <row r="146" spans="1:2" ht="13.9" hidden="1" x14ac:dyDescent="0.4">
      <c r="A146" t="s">
        <v>384</v>
      </c>
      <c r="B146" t="str">
        <f>IF($C$60&gt;=26,IF($C$60=26,C13+$C$37*$C$61,C13),"")</f>
        <v/>
      </c>
    </row>
    <row r="147" spans="1:2" ht="13.9" hidden="1" x14ac:dyDescent="0.4">
      <c r="A147" t="s">
        <v>383</v>
      </c>
      <c r="B147" t="str">
        <f>IF($C$60&gt;=27,IF($C$60=27,C13+$C$37*$C$61,C13),"")</f>
        <v/>
      </c>
    </row>
    <row r="148" spans="1:2" ht="13.9" hidden="1" x14ac:dyDescent="0.4">
      <c r="A148" t="s">
        <v>382</v>
      </c>
      <c r="B148" t="str">
        <f>IF($C$60&gt;=28,IF($C$60=28,C13+$C$37*$C$61,C13),"")</f>
        <v/>
      </c>
    </row>
    <row r="149" spans="1:2" ht="13.9" hidden="1" x14ac:dyDescent="0.4">
      <c r="A149" t="s">
        <v>381</v>
      </c>
      <c r="B149" t="str">
        <f>IF($C$60&gt;=29,IF($C$60=29,C13+$C$37*$C$61,C13),"")</f>
        <v/>
      </c>
    </row>
    <row r="150" spans="1:2" ht="13.9" hidden="1" x14ac:dyDescent="0.4">
      <c r="A150" t="s">
        <v>380</v>
      </c>
      <c r="B150" t="str">
        <f>IF($C$60&gt;=30,IF($C$60=30,C13+$C$37*$C$61,C13),"")</f>
        <v/>
      </c>
    </row>
    <row r="151" spans="1:2" ht="13.9" hidden="1" x14ac:dyDescent="0.4">
      <c r="A151" t="s">
        <v>379</v>
      </c>
      <c r="B151" t="str">
        <f>IF($C$60&gt;=31,IF($C$60=31,C13+$C$37*$C$61,C13),"")</f>
        <v/>
      </c>
    </row>
    <row r="152" spans="1:2" ht="13.9" hidden="1" x14ac:dyDescent="0.4">
      <c r="A152" t="s">
        <v>378</v>
      </c>
      <c r="B152" t="str">
        <f>IF($C$60&gt;=32,IF($C$60=32,C13+$C$37*$C$61,C13),"")</f>
        <v/>
      </c>
    </row>
    <row r="153" spans="1:2" ht="13.9" hidden="1" x14ac:dyDescent="0.4">
      <c r="A153" t="s">
        <v>377</v>
      </c>
      <c r="B153" t="str">
        <f>IF($C$60&gt;=33,IF($C$60=33,C13+$C$37*$C$61,C13),"")</f>
        <v/>
      </c>
    </row>
    <row r="154" spans="1:2" ht="13.9" hidden="1" x14ac:dyDescent="0.4">
      <c r="A154" t="s">
        <v>376</v>
      </c>
      <c r="B154" t="str">
        <f>IF($C$60&gt;=34,IF($C$60=34,C13+$C$37*$C$61,C13),"")</f>
        <v/>
      </c>
    </row>
    <row r="155" spans="1:2" ht="13.9" hidden="1" x14ac:dyDescent="0.4">
      <c r="A155" t="s">
        <v>375</v>
      </c>
      <c r="B155" t="str">
        <f>IF($C$60&gt;=35,IF($C$60=35,C13+$C$37*$C$61,C13),"")</f>
        <v/>
      </c>
    </row>
    <row r="156" spans="1:2" ht="13.9" hidden="1" x14ac:dyDescent="0.4">
      <c r="A156" t="s">
        <v>374</v>
      </c>
      <c r="B156" t="str">
        <f>IF($C$60&gt;=36,IF($C$60=36,C13+$C$37*$C$61,C13),"")</f>
        <v/>
      </c>
    </row>
    <row r="157" spans="1:2" ht="13.9" hidden="1" x14ac:dyDescent="0.4">
      <c r="A157" t="s">
        <v>373</v>
      </c>
      <c r="B157" t="str">
        <f>IF($C$60&gt;=37,IF($C$60=37,C13+$C$37*$C$61,C13),"")</f>
        <v/>
      </c>
    </row>
    <row r="158" spans="1:2" ht="13.9" hidden="1" x14ac:dyDescent="0.4">
      <c r="A158" t="s">
        <v>372</v>
      </c>
      <c r="B158" t="str">
        <f>IF($C$60&gt;=38,IF($C$60=38,C13+$C$37*$C$61,C13),"")</f>
        <v/>
      </c>
    </row>
    <row r="159" spans="1:2" ht="13.9" hidden="1" x14ac:dyDescent="0.4">
      <c r="A159" t="s">
        <v>371</v>
      </c>
      <c r="B159" t="str">
        <f>IF($C$60&gt;=39,IF($C$60=39,C13+$C$37*$C$61,C13),"")</f>
        <v/>
      </c>
    </row>
    <row r="160" spans="1:2" ht="13.9" hidden="1" x14ac:dyDescent="0.4">
      <c r="A160" t="s">
        <v>370</v>
      </c>
      <c r="B160" t="str">
        <f>IF($C$60&gt;=40,IF($C$60=40,C13+$C$37*$C$61,C13),"")</f>
        <v/>
      </c>
    </row>
    <row r="162" spans="1:2" ht="13.9" hidden="1" x14ac:dyDescent="0.4">
      <c r="A162" t="s">
        <v>240</v>
      </c>
    </row>
    <row r="163" spans="1:2" ht="13.9" hidden="1" x14ac:dyDescent="0.4">
      <c r="A163" t="s">
        <v>232</v>
      </c>
      <c r="B163">
        <f>-$C$37</f>
        <v>-651</v>
      </c>
    </row>
    <row r="164" spans="1:2" ht="13.9" hidden="1" x14ac:dyDescent="0.4">
      <c r="A164" t="s">
        <v>231</v>
      </c>
      <c r="B164">
        <f>IF($C$60&gt;=1,IF($C$60=1,D13+$C$37*$C$61,D13),"")</f>
        <v>212.61</v>
      </c>
    </row>
    <row r="165" spans="1:2" ht="13.9" hidden="1" x14ac:dyDescent="0.4">
      <c r="A165" t="s">
        <v>230</v>
      </c>
      <c r="B165">
        <f>IF($C$60&gt;=2,IF($C$60=2,D13+$C$37*$C$61,D13),"")</f>
        <v>212.61</v>
      </c>
    </row>
    <row r="166" spans="1:2" ht="13.9" hidden="1" x14ac:dyDescent="0.4">
      <c r="A166" t="s">
        <v>229</v>
      </c>
      <c r="B166">
        <f>IF($C$60&gt;=3,IF($C$60=3,D13+$C$37*$C$61,D13),"")</f>
        <v>212.61</v>
      </c>
    </row>
    <row r="167" spans="1:2" ht="13.9" hidden="1" x14ac:dyDescent="0.4">
      <c r="A167" t="s">
        <v>228</v>
      </c>
      <c r="B167">
        <f>IF($C$60&gt;=4,IF($C$60=4,D13+$C$37*$C$61,D13),"")</f>
        <v>212.61</v>
      </c>
    </row>
    <row r="168" spans="1:2" ht="13.9" hidden="1" x14ac:dyDescent="0.4">
      <c r="A168" t="s">
        <v>227</v>
      </c>
      <c r="B168">
        <f>IF($C$60&gt;=5,IF($C$60=5,D13+$C$37*$C$61,D13),"")</f>
        <v>212.61</v>
      </c>
    </row>
    <row r="169" spans="1:2" ht="13.9" hidden="1" x14ac:dyDescent="0.4">
      <c r="A169" t="s">
        <v>226</v>
      </c>
      <c r="B169">
        <f>IF($C$60&gt;=6,IF($C$60=6,D13+$C$37*$C$61,D13),"")</f>
        <v>212.61</v>
      </c>
    </row>
    <row r="170" spans="1:2" ht="13.9" hidden="1" x14ac:dyDescent="0.4">
      <c r="A170" t="s">
        <v>225</v>
      </c>
      <c r="B170">
        <f>IF($C$60&gt;=7,IF($C$60=7,D13+$C$37*$C$61,D13),"")</f>
        <v>212.61</v>
      </c>
    </row>
    <row r="171" spans="1:2" ht="13.9" hidden="1" x14ac:dyDescent="0.4">
      <c r="A171" t="s">
        <v>224</v>
      </c>
      <c r="B171">
        <f>IF($C$60&gt;=8,IF($C$60=8,D13+$C$37*$C$61,D13),"")</f>
        <v>212.61</v>
      </c>
    </row>
    <row r="172" spans="1:2" ht="13.9" hidden="1" x14ac:dyDescent="0.4">
      <c r="A172" t="s">
        <v>223</v>
      </c>
      <c r="B172">
        <f>IF($C$60&gt;=9,IF($C$60=9,D13+$C$37*$C$61,D13),"")</f>
        <v>212.61</v>
      </c>
    </row>
    <row r="173" spans="1:2" ht="13.9" hidden="1" x14ac:dyDescent="0.4">
      <c r="A173" t="s">
        <v>222</v>
      </c>
      <c r="B173">
        <f>IF($C$60&gt;=10,IF($C$60=10,D13+$C$37*$C$61,D13),"")</f>
        <v>212.61</v>
      </c>
    </row>
    <row r="174" spans="1:2" ht="13.9" hidden="1" x14ac:dyDescent="0.4">
      <c r="A174" t="s">
        <v>221</v>
      </c>
      <c r="B174">
        <f>IF($C$60&gt;=11,IF($C$60=11,D13+$C$37*$C$61,D13),"")</f>
        <v>212.61</v>
      </c>
    </row>
    <row r="175" spans="1:2" ht="13.9" hidden="1" x14ac:dyDescent="0.4">
      <c r="A175" t="s">
        <v>220</v>
      </c>
      <c r="B175">
        <f>IF($C$60&gt;=12,IF($C$60=12,D13+$C$37*$C$61,D13),"")</f>
        <v>212.61</v>
      </c>
    </row>
    <row r="176" spans="1:2" ht="13.9" hidden="1" x14ac:dyDescent="0.4">
      <c r="A176" t="s">
        <v>219</v>
      </c>
      <c r="B176">
        <f>IF($C$60&gt;=13,IF($C$60=13,D13+$C$37*$C$61,D13),"")</f>
        <v>212.61</v>
      </c>
    </row>
    <row r="177" spans="1:2" ht="13.9" hidden="1" x14ac:dyDescent="0.4">
      <c r="A177" t="s">
        <v>218</v>
      </c>
      <c r="B177">
        <f>IF($C$60&gt;=14,IF($C$60=14,D13+$C$37*$C$61,D13),"")</f>
        <v>212.61</v>
      </c>
    </row>
    <row r="178" spans="1:2" ht="13.9" hidden="1" x14ac:dyDescent="0.4">
      <c r="A178" t="s">
        <v>217</v>
      </c>
      <c r="B178">
        <f>IF($C$60&gt;=15,IF($C$60=15,D13+$C$37*$C$61,D13),"")</f>
        <v>277.71000000000004</v>
      </c>
    </row>
    <row r="179" spans="1:2" ht="13.9" hidden="1" x14ac:dyDescent="0.4">
      <c r="A179" t="s">
        <v>394</v>
      </c>
      <c r="B179" t="str">
        <f>IF($C$60&gt;=16,IF($C$60=16,D13+$C$37*$C$61,D13),"")</f>
        <v/>
      </c>
    </row>
    <row r="180" spans="1:2" ht="13.9" hidden="1" x14ac:dyDescent="0.4">
      <c r="A180" t="s">
        <v>393</v>
      </c>
      <c r="B180" t="str">
        <f>IF($C$60&gt;=17,IF($C$60=17,D13+$C$37*$C$61,D13),"")</f>
        <v/>
      </c>
    </row>
    <row r="181" spans="1:2" ht="13.9" hidden="1" x14ac:dyDescent="0.4">
      <c r="A181" t="s">
        <v>392</v>
      </c>
      <c r="B181" t="str">
        <f>IF($C$60&gt;=18,IF($C$60=18,D13+$C$37*$C$61,D13),"")</f>
        <v/>
      </c>
    </row>
    <row r="182" spans="1:2" ht="13.9" hidden="1" x14ac:dyDescent="0.4">
      <c r="A182" t="s">
        <v>391</v>
      </c>
      <c r="B182" t="str">
        <f>IF($C$60&gt;=19,IF($C$60=19,D13+$C$37*$C$61,D13),"")</f>
        <v/>
      </c>
    </row>
    <row r="183" spans="1:2" ht="13.9" hidden="1" x14ac:dyDescent="0.4">
      <c r="A183" t="s">
        <v>390</v>
      </c>
      <c r="B183" t="str">
        <f>IF($C$60&gt;=20,IF($C$60=20,D13+$C$37*$C$61,D13),"")</f>
        <v/>
      </c>
    </row>
    <row r="184" spans="1:2" ht="13.9" hidden="1" x14ac:dyDescent="0.4">
      <c r="A184" t="s">
        <v>389</v>
      </c>
      <c r="B184" t="str">
        <f>IF($C$60&gt;=21,IF($C$60=21,D13+$C$37*$C$61,D13),"")</f>
        <v/>
      </c>
    </row>
    <row r="185" spans="1:2" ht="13.9" hidden="1" x14ac:dyDescent="0.4">
      <c r="A185" t="s">
        <v>388</v>
      </c>
      <c r="B185" t="str">
        <f>IF($C$60&gt;=22,IF($C$60=22,D13+$C$37*$C$61,D13),"")</f>
        <v/>
      </c>
    </row>
    <row r="186" spans="1:2" ht="13.9" hidden="1" x14ac:dyDescent="0.4">
      <c r="A186" t="s">
        <v>387</v>
      </c>
      <c r="B186" t="str">
        <f>IF($C$60&gt;=23,IF($C$60=23,D13+$C$37*$C$61,D13),"")</f>
        <v/>
      </c>
    </row>
    <row r="187" spans="1:2" ht="13.9" hidden="1" x14ac:dyDescent="0.4">
      <c r="A187" t="s">
        <v>386</v>
      </c>
      <c r="B187" t="str">
        <f>IF($C$60&gt;=24,IF($C$60=24,D13+$C$37*$C$61,D13),"")</f>
        <v/>
      </c>
    </row>
    <row r="188" spans="1:2" ht="13.9" hidden="1" x14ac:dyDescent="0.4">
      <c r="A188" t="s">
        <v>385</v>
      </c>
      <c r="B188" t="str">
        <f>IF($C$60&gt;=25,IF($C$60=25,D13+$C$37*$C$61,D13),"")</f>
        <v/>
      </c>
    </row>
    <row r="189" spans="1:2" ht="13.9" hidden="1" x14ac:dyDescent="0.4">
      <c r="A189" t="s">
        <v>384</v>
      </c>
      <c r="B189" t="str">
        <f>IF($C$60&gt;=26,IF($C$60=26,D13+$C$37*$C$61,D13),"")</f>
        <v/>
      </c>
    </row>
    <row r="190" spans="1:2" ht="13.9" hidden="1" x14ac:dyDescent="0.4">
      <c r="A190" t="s">
        <v>383</v>
      </c>
      <c r="B190" t="str">
        <f>IF($C$60&gt;=27,IF($C$60=27,D13+$C$37*$C$61,D13),"")</f>
        <v/>
      </c>
    </row>
    <row r="191" spans="1:2" ht="13.9" hidden="1" x14ac:dyDescent="0.4">
      <c r="A191" t="s">
        <v>382</v>
      </c>
      <c r="B191" t="str">
        <f>IF($C$60&gt;=28,IF($C$60=28,D13+$C$37*$C$61,D13),"")</f>
        <v/>
      </c>
    </row>
    <row r="192" spans="1:2" ht="13.9" hidden="1" x14ac:dyDescent="0.4">
      <c r="A192" t="s">
        <v>381</v>
      </c>
      <c r="B192" t="str">
        <f>IF($C$60&gt;=29,IF($C$60=29,D13+$C$37*$C$61,D13),"")</f>
        <v/>
      </c>
    </row>
    <row r="193" spans="1:2" ht="13.9" hidden="1" x14ac:dyDescent="0.4">
      <c r="A193" t="s">
        <v>380</v>
      </c>
      <c r="B193" t="str">
        <f>IF($C$60&gt;=30,IF($C$60=30,D13+$C$37*$C$61,D13),"")</f>
        <v/>
      </c>
    </row>
    <row r="194" spans="1:2" ht="13.9" hidden="1" x14ac:dyDescent="0.4">
      <c r="A194" t="s">
        <v>379</v>
      </c>
      <c r="B194" t="str">
        <f>IF($C$60&gt;=31,IF($C$60=31,D13+$C$37*$C$61,D13),"")</f>
        <v/>
      </c>
    </row>
    <row r="195" spans="1:2" ht="13.9" hidden="1" x14ac:dyDescent="0.4">
      <c r="A195" t="s">
        <v>378</v>
      </c>
      <c r="B195" t="str">
        <f>IF($C$60&gt;=32,IF($C$60=32,D13+$C$37*$C$61,D13),"")</f>
        <v/>
      </c>
    </row>
    <row r="196" spans="1:2" ht="13.9" hidden="1" x14ac:dyDescent="0.4">
      <c r="A196" t="s">
        <v>377</v>
      </c>
      <c r="B196" t="str">
        <f>IF($C$60&gt;=33,IF($C$60=33,D13+$C$37*$C$61,D13),"")</f>
        <v/>
      </c>
    </row>
    <row r="197" spans="1:2" ht="13.9" hidden="1" x14ac:dyDescent="0.4">
      <c r="A197" t="s">
        <v>376</v>
      </c>
      <c r="B197" t="str">
        <f>IF($C$60&gt;=34,IF($C$60=34,D13+$C$37*$C$61,D13),"")</f>
        <v/>
      </c>
    </row>
    <row r="198" spans="1:2" ht="13.9" hidden="1" x14ac:dyDescent="0.4">
      <c r="A198" t="s">
        <v>375</v>
      </c>
      <c r="B198" t="str">
        <f>IF($C$60&gt;=35,IF($C$60=35,D13+$C$37*$C$61,D13),"")</f>
        <v/>
      </c>
    </row>
    <row r="199" spans="1:2" ht="13.9" hidden="1" x14ac:dyDescent="0.4">
      <c r="A199" t="s">
        <v>374</v>
      </c>
      <c r="B199" t="str">
        <f>IF($C$60&gt;=36,IF($C$60=36,D13+$C$37*$C$61,D13),"")</f>
        <v/>
      </c>
    </row>
    <row r="200" spans="1:2" ht="13.9" hidden="1" x14ac:dyDescent="0.4">
      <c r="A200" t="s">
        <v>373</v>
      </c>
      <c r="B200" t="str">
        <f>IF($C$60&gt;=37,IF($C$60=37,D13+$C$37*$C$61,D13),"")</f>
        <v/>
      </c>
    </row>
    <row r="201" spans="1:2" ht="13.9" hidden="1" x14ac:dyDescent="0.4">
      <c r="A201" t="s">
        <v>372</v>
      </c>
      <c r="B201" t="str">
        <f>IF($C$60&gt;=38,IF($C$60=38,D13+$C$37*$C$61,D13),"")</f>
        <v/>
      </c>
    </row>
    <row r="202" spans="1:2" ht="13.9" hidden="1" x14ac:dyDescent="0.4">
      <c r="A202" t="s">
        <v>371</v>
      </c>
      <c r="B202" t="str">
        <f>IF($C$60&gt;=39,IF($C$60=39,D13+$C$37*$C$61,D13),"")</f>
        <v/>
      </c>
    </row>
    <row r="203" spans="1:2" ht="13.9" hidden="1" x14ac:dyDescent="0.4">
      <c r="A203" t="s">
        <v>370</v>
      </c>
      <c r="B203" t="str">
        <f>IF($C$60&gt;=40,IF($C$60=40,D13+$C$37*$C$61,D13),"")</f>
        <v/>
      </c>
    </row>
    <row r="205" spans="1:2" ht="13.9" hidden="1" x14ac:dyDescent="0.4">
      <c r="A205" t="s">
        <v>239</v>
      </c>
    </row>
    <row r="206" spans="1:2" ht="13.9" hidden="1" x14ac:dyDescent="0.4">
      <c r="A206" t="s">
        <v>232</v>
      </c>
      <c r="B206">
        <f>-$C$37</f>
        <v>-651</v>
      </c>
    </row>
    <row r="207" spans="1:2" ht="13.9" hidden="1" x14ac:dyDescent="0.4">
      <c r="A207" t="s">
        <v>231</v>
      </c>
      <c r="B207">
        <f>IF($C$60&gt;=1,IF($C$60=1,E13+$C$37*$C$61,E13),"")</f>
        <v>290.82</v>
      </c>
    </row>
    <row r="208" spans="1:2" ht="13.9" hidden="1" x14ac:dyDescent="0.4">
      <c r="A208" t="s">
        <v>230</v>
      </c>
      <c r="B208">
        <f>IF($C$60&gt;=2,IF($C$60=2,E13+$C$37*$C$61,E13),"")</f>
        <v>290.82</v>
      </c>
    </row>
    <row r="209" spans="1:2" ht="13.9" hidden="1" x14ac:dyDescent="0.4">
      <c r="A209" t="s">
        <v>229</v>
      </c>
      <c r="B209">
        <f>IF($C$60&gt;=3,IF($C$60=3,E13+$C$37*$C$61,E13),"")</f>
        <v>290.82</v>
      </c>
    </row>
    <row r="210" spans="1:2" ht="13.9" hidden="1" x14ac:dyDescent="0.4">
      <c r="A210" t="s">
        <v>228</v>
      </c>
      <c r="B210">
        <f>IF($C$60&gt;=4,IF($C$60=4,E13+$C$37*$C$61,E13),"")</f>
        <v>290.82</v>
      </c>
    </row>
    <row r="211" spans="1:2" ht="13.9" hidden="1" x14ac:dyDescent="0.4">
      <c r="A211" t="s">
        <v>227</v>
      </c>
      <c r="B211">
        <f>IF($C$60&gt;=5,IF($C$60=5,E13+$C$37*$C$61,E13),"")</f>
        <v>290.82</v>
      </c>
    </row>
    <row r="212" spans="1:2" ht="13.9" hidden="1" x14ac:dyDescent="0.4">
      <c r="A212" t="s">
        <v>226</v>
      </c>
      <c r="B212">
        <f>IF($C$60&gt;=6,IF($C$60=6,E13+$C$37*$C$61,E13),"")</f>
        <v>290.82</v>
      </c>
    </row>
    <row r="213" spans="1:2" ht="13.9" hidden="1" x14ac:dyDescent="0.4">
      <c r="A213" t="s">
        <v>225</v>
      </c>
      <c r="B213">
        <f>IF($C$60&gt;=7,IF($C$60=7,E13+$C$37*$C$61,E13),"")</f>
        <v>290.82</v>
      </c>
    </row>
    <row r="214" spans="1:2" ht="13.9" hidden="1" x14ac:dyDescent="0.4">
      <c r="A214" t="s">
        <v>224</v>
      </c>
      <c r="B214">
        <f>IF($C$60&gt;=8,IF($C$60=8,E13+$C$37*$C$61,E13),"")</f>
        <v>290.82</v>
      </c>
    </row>
    <row r="215" spans="1:2" ht="13.9" hidden="1" x14ac:dyDescent="0.4">
      <c r="A215" t="s">
        <v>223</v>
      </c>
      <c r="B215">
        <f>IF($C$60&gt;=9,IF($C$60=9,E13+$C$37*$C$61,E13),"")</f>
        <v>290.82</v>
      </c>
    </row>
    <row r="216" spans="1:2" ht="13.9" hidden="1" x14ac:dyDescent="0.4">
      <c r="A216" t="s">
        <v>222</v>
      </c>
      <c r="B216">
        <f>IF($C$60&gt;=10,IF($C$60=10,E13+$C$37*$C$61,E13),"")</f>
        <v>290.82</v>
      </c>
    </row>
    <row r="217" spans="1:2" ht="13.9" hidden="1" x14ac:dyDescent="0.4">
      <c r="A217" t="s">
        <v>221</v>
      </c>
      <c r="B217">
        <f>IF($C$60&gt;=11,IF($C$60=11,E13+$C$37*$C$61,E13),"")</f>
        <v>290.82</v>
      </c>
    </row>
    <row r="218" spans="1:2" ht="13.9" hidden="1" x14ac:dyDescent="0.4">
      <c r="A218" t="s">
        <v>220</v>
      </c>
      <c r="B218">
        <f>IF($C$60&gt;=12,IF($C$60=12,E13+$C$37*$C$61,E13),"")</f>
        <v>290.82</v>
      </c>
    </row>
    <row r="219" spans="1:2" ht="13.9" hidden="1" x14ac:dyDescent="0.4">
      <c r="A219" t="s">
        <v>219</v>
      </c>
      <c r="B219">
        <f>IF($C$60&gt;=13,IF($C$60=13,E13+$C$37*$C$61,E13),"")</f>
        <v>290.82</v>
      </c>
    </row>
    <row r="220" spans="1:2" ht="13.9" hidden="1" x14ac:dyDescent="0.4">
      <c r="A220" t="s">
        <v>218</v>
      </c>
      <c r="B220">
        <f>IF($C$60&gt;=14,IF($C$60=14,E13+$C$37*$C$61,E13),"")</f>
        <v>290.82</v>
      </c>
    </row>
    <row r="221" spans="1:2" ht="13.9" hidden="1" x14ac:dyDescent="0.4">
      <c r="A221" t="s">
        <v>217</v>
      </c>
      <c r="B221">
        <f>IF($C$60&gt;=15,IF($C$60=15,E13+$C$37*$C$61,E13),"")</f>
        <v>355.92</v>
      </c>
    </row>
    <row r="222" spans="1:2" ht="13.9" hidden="1" x14ac:dyDescent="0.4">
      <c r="A222" t="s">
        <v>394</v>
      </c>
      <c r="B222" t="str">
        <f>IF($C$60&gt;=16,IF($C$60=16,E13+$C$37*$C$61,E13),"")</f>
        <v/>
      </c>
    </row>
    <row r="223" spans="1:2" ht="13.9" hidden="1" x14ac:dyDescent="0.4">
      <c r="A223" t="s">
        <v>393</v>
      </c>
      <c r="B223" t="str">
        <f>IF($C$60&gt;=17,IF($C$60=17,E13+$C$37*$C$61,E13),"")</f>
        <v/>
      </c>
    </row>
    <row r="224" spans="1:2" ht="13.9" hidden="1" x14ac:dyDescent="0.4">
      <c r="A224" t="s">
        <v>392</v>
      </c>
      <c r="B224" t="str">
        <f>IF($C$60&gt;=18,IF($C$60=18,E13+$C$37*$C$61,E13),"")</f>
        <v/>
      </c>
    </row>
    <row r="225" spans="1:2" ht="13.9" hidden="1" x14ac:dyDescent="0.4">
      <c r="A225" t="s">
        <v>391</v>
      </c>
      <c r="B225" t="str">
        <f>IF($C$60&gt;=19,IF($C$60=19,E13+$C$37*$C$61,E13),"")</f>
        <v/>
      </c>
    </row>
    <row r="226" spans="1:2" ht="13.9" hidden="1" x14ac:dyDescent="0.4">
      <c r="A226" t="s">
        <v>390</v>
      </c>
      <c r="B226" t="str">
        <f>IF($C$60&gt;=20,IF($C$60=20,E13+$C$37*$C$61,E13),"")</f>
        <v/>
      </c>
    </row>
    <row r="227" spans="1:2" ht="13.9" hidden="1" x14ac:dyDescent="0.4">
      <c r="A227" t="s">
        <v>389</v>
      </c>
      <c r="B227" t="str">
        <f>IF($C$60&gt;=21,IF($C$60=21,E13+$C$37*$C$61,E13),"")</f>
        <v/>
      </c>
    </row>
    <row r="228" spans="1:2" ht="13.9" hidden="1" x14ac:dyDescent="0.4">
      <c r="A228" t="s">
        <v>388</v>
      </c>
      <c r="B228" t="str">
        <f>IF($C$60&gt;=22,IF($C$60=22,E13+$C$37*$C$61,E13),"")</f>
        <v/>
      </c>
    </row>
    <row r="229" spans="1:2" ht="13.9" hidden="1" x14ac:dyDescent="0.4">
      <c r="A229" t="s">
        <v>387</v>
      </c>
      <c r="B229" t="str">
        <f>IF($C$60&gt;=23,IF($C$60=23,E13+$C$37*$C$61,E13),"")</f>
        <v/>
      </c>
    </row>
    <row r="230" spans="1:2" ht="13.9" hidden="1" x14ac:dyDescent="0.4">
      <c r="A230" t="s">
        <v>386</v>
      </c>
      <c r="B230" t="str">
        <f>IF($C$60&gt;=24,IF($C$60=24,E13+$C$37*$C$61,E13),"")</f>
        <v/>
      </c>
    </row>
    <row r="231" spans="1:2" ht="13.9" hidden="1" x14ac:dyDescent="0.4">
      <c r="A231" t="s">
        <v>385</v>
      </c>
      <c r="B231" t="str">
        <f>IF($C$60&gt;=25,IF($C$60=25,E13+$C$37*$C$61,E13),"")</f>
        <v/>
      </c>
    </row>
    <row r="232" spans="1:2" ht="13.9" hidden="1" x14ac:dyDescent="0.4">
      <c r="A232" t="s">
        <v>384</v>
      </c>
      <c r="B232" t="str">
        <f>IF($C$60&gt;=26,IF($C$60=26,E13+$C$37*$C$61,E13),"")</f>
        <v/>
      </c>
    </row>
    <row r="233" spans="1:2" ht="13.9" hidden="1" x14ac:dyDescent="0.4">
      <c r="A233" t="s">
        <v>383</v>
      </c>
      <c r="B233" t="str">
        <f>IF($C$60&gt;=27,IF($C$60=27,E13+$C$37*$C$61,E13),"")</f>
        <v/>
      </c>
    </row>
    <row r="234" spans="1:2" ht="13.9" hidden="1" x14ac:dyDescent="0.4">
      <c r="A234" t="s">
        <v>382</v>
      </c>
      <c r="B234" t="str">
        <f>IF($C$60&gt;=28,IF($C$60=28,E13+$C$37*$C$61,E13),"")</f>
        <v/>
      </c>
    </row>
    <row r="235" spans="1:2" ht="13.9" hidden="1" x14ac:dyDescent="0.4">
      <c r="A235" t="s">
        <v>381</v>
      </c>
      <c r="B235" t="str">
        <f>IF($C$60&gt;=29,IF($C$60=29,E13+$C$37*$C$61,E13),"")</f>
        <v/>
      </c>
    </row>
    <row r="236" spans="1:2" ht="13.9" hidden="1" x14ac:dyDescent="0.4">
      <c r="A236" t="s">
        <v>380</v>
      </c>
      <c r="B236" t="str">
        <f>IF($C$60&gt;=30,IF($C$60=30,E13+$C$37*$C$61,E13),"")</f>
        <v/>
      </c>
    </row>
    <row r="237" spans="1:2" ht="13.9" hidden="1" x14ac:dyDescent="0.4">
      <c r="A237" t="s">
        <v>379</v>
      </c>
      <c r="B237" t="str">
        <f>IF($C$60&gt;=31,IF($C$60=31,E13+$C$37*$C$61,E13),"")</f>
        <v/>
      </c>
    </row>
    <row r="238" spans="1:2" ht="13.9" hidden="1" x14ac:dyDescent="0.4">
      <c r="A238" t="s">
        <v>378</v>
      </c>
      <c r="B238" t="str">
        <f>IF($C$60&gt;=32,IF($C$60=32,E13+$C$37*$C$61,E13),"")</f>
        <v/>
      </c>
    </row>
    <row r="239" spans="1:2" ht="13.9" hidden="1" x14ac:dyDescent="0.4">
      <c r="A239" t="s">
        <v>377</v>
      </c>
      <c r="B239" t="str">
        <f>IF($C$60&gt;=33,IF($C$60=33,E13+$C$37*$C$61,E13),"")</f>
        <v/>
      </c>
    </row>
    <row r="240" spans="1:2" ht="13.9" hidden="1" x14ac:dyDescent="0.4">
      <c r="A240" t="s">
        <v>376</v>
      </c>
      <c r="B240" t="str">
        <f>IF($C$60&gt;=34,IF($C$60=34,E13+$C$37*$C$61,E13),"")</f>
        <v/>
      </c>
    </row>
    <row r="241" spans="1:2" ht="13.9" hidden="1" x14ac:dyDescent="0.4">
      <c r="A241" t="s">
        <v>375</v>
      </c>
      <c r="B241" t="str">
        <f>IF($C$60&gt;=35,IF($C$60=35,E13+$C$37*$C$61,E13),"")</f>
        <v/>
      </c>
    </row>
    <row r="242" spans="1:2" ht="13.9" hidden="1" x14ac:dyDescent="0.4">
      <c r="A242" t="s">
        <v>374</v>
      </c>
      <c r="B242" t="str">
        <f>IF($C$60&gt;=36,IF($C$60=36,E13+$C$37*$C$61,E13),"")</f>
        <v/>
      </c>
    </row>
    <row r="243" spans="1:2" ht="13.9" hidden="1" x14ac:dyDescent="0.4">
      <c r="A243" t="s">
        <v>373</v>
      </c>
      <c r="B243" t="str">
        <f>IF($C$60&gt;=37,IF($C$60=37,E13+$C$37*$C$61,E13),"")</f>
        <v/>
      </c>
    </row>
    <row r="244" spans="1:2" ht="13.9" hidden="1" x14ac:dyDescent="0.4">
      <c r="A244" t="s">
        <v>372</v>
      </c>
      <c r="B244" t="str">
        <f>IF($C$60&gt;=38,IF($C$60=38,E13+$C$37*$C$61,E13),"")</f>
        <v/>
      </c>
    </row>
    <row r="245" spans="1:2" ht="13.9" hidden="1" x14ac:dyDescent="0.4">
      <c r="A245" t="s">
        <v>371</v>
      </c>
      <c r="B245" t="str">
        <f>IF($C$60&gt;=39,IF($C$60=39,E13+$C$37*$C$61,E13),"")</f>
        <v/>
      </c>
    </row>
    <row r="246" spans="1:2" ht="13.9" hidden="1" x14ac:dyDescent="0.4">
      <c r="A246" t="s">
        <v>370</v>
      </c>
      <c r="B246" t="str">
        <f>IF($C$60&gt;=40,IF($C$60=40,E13+$C$37*$C$61,E13),"")</f>
        <v/>
      </c>
    </row>
    <row r="248" spans="1:2" ht="13.9" hidden="1" x14ac:dyDescent="0.4">
      <c r="A248" t="s">
        <v>238</v>
      </c>
    </row>
    <row r="249" spans="1:2" ht="13.9" hidden="1" x14ac:dyDescent="0.4">
      <c r="A249" t="s">
        <v>232</v>
      </c>
      <c r="B249">
        <f>-$C$37</f>
        <v>-651</v>
      </c>
    </row>
    <row r="250" spans="1:2" ht="13.9" hidden="1" x14ac:dyDescent="0.4">
      <c r="A250" t="s">
        <v>231</v>
      </c>
      <c r="B250">
        <f>IF($C$60&gt;=1,IF($C$60=1,F13+$C$37*$C$61,F13),"")</f>
        <v>369.03</v>
      </c>
    </row>
    <row r="251" spans="1:2" ht="13.9" hidden="1" x14ac:dyDescent="0.4">
      <c r="A251" t="s">
        <v>230</v>
      </c>
      <c r="B251">
        <f>IF($C$60&gt;=2,IF($C$60=2,F13+$C$37*$C$61,F13),"")</f>
        <v>369.03</v>
      </c>
    </row>
    <row r="252" spans="1:2" ht="13.9" hidden="1" x14ac:dyDescent="0.4">
      <c r="A252" t="s">
        <v>229</v>
      </c>
      <c r="B252">
        <f>IF($C$60&gt;=3,IF($C$60=3,F13+$C$37*$C$61,F13),"")</f>
        <v>369.03</v>
      </c>
    </row>
    <row r="253" spans="1:2" ht="13.9" hidden="1" x14ac:dyDescent="0.4">
      <c r="A253" t="s">
        <v>228</v>
      </c>
      <c r="B253">
        <f>IF($C$60&gt;=4,IF($C$60=4,F13+$C$37*$C$61,F13),"")</f>
        <v>369.03</v>
      </c>
    </row>
    <row r="254" spans="1:2" ht="13.9" hidden="1" x14ac:dyDescent="0.4">
      <c r="A254" t="s">
        <v>227</v>
      </c>
      <c r="B254">
        <f>IF($C$60&gt;=5,IF($C$60=5,F13+$C$37*$C$61,F13),"")</f>
        <v>369.03</v>
      </c>
    </row>
    <row r="255" spans="1:2" ht="13.9" hidden="1" x14ac:dyDescent="0.4">
      <c r="A255" t="s">
        <v>226</v>
      </c>
      <c r="B255">
        <f>IF($C$60&gt;=6,IF($C$60=6,F13+$C$37*$C$61,F13),"")</f>
        <v>369.03</v>
      </c>
    </row>
    <row r="256" spans="1:2" ht="13.9" hidden="1" x14ac:dyDescent="0.4">
      <c r="A256" t="s">
        <v>225</v>
      </c>
      <c r="B256">
        <f>IF($C$60&gt;=7,IF($C$60=7,F13+$C$37*$C$61,F13),"")</f>
        <v>369.03</v>
      </c>
    </row>
    <row r="257" spans="1:2" ht="13.9" hidden="1" x14ac:dyDescent="0.4">
      <c r="A257" t="s">
        <v>224</v>
      </c>
      <c r="B257">
        <f>IF($C$60&gt;=8,IF($C$60=8,F13+$C$37*$C$61,F13),"")</f>
        <v>369.03</v>
      </c>
    </row>
    <row r="258" spans="1:2" ht="13.9" hidden="1" x14ac:dyDescent="0.4">
      <c r="A258" t="s">
        <v>223</v>
      </c>
      <c r="B258">
        <f>IF($C$60&gt;=9,IF($C$60=9,F13+$C$37*$C$61,F13),"")</f>
        <v>369.03</v>
      </c>
    </row>
    <row r="259" spans="1:2" ht="13.9" hidden="1" x14ac:dyDescent="0.4">
      <c r="A259" t="s">
        <v>222</v>
      </c>
      <c r="B259">
        <f>IF($C$60&gt;=10,IF($C$60=10,F13+$C$37*$C$61,F13),"")</f>
        <v>369.03</v>
      </c>
    </row>
    <row r="260" spans="1:2" ht="13.9" hidden="1" x14ac:dyDescent="0.4">
      <c r="A260" t="s">
        <v>221</v>
      </c>
      <c r="B260">
        <f>IF($C$60&gt;=11,IF($C$60=11,F13+$C$37*$C$61,F13),"")</f>
        <v>369.03</v>
      </c>
    </row>
    <row r="261" spans="1:2" ht="13.9" hidden="1" x14ac:dyDescent="0.4">
      <c r="A261" t="s">
        <v>220</v>
      </c>
      <c r="B261">
        <f>IF($C$60&gt;=12,IF($C$60=12,F13+$C$37*$C$61,F13),"")</f>
        <v>369.03</v>
      </c>
    </row>
    <row r="262" spans="1:2" ht="13.9" hidden="1" x14ac:dyDescent="0.4">
      <c r="A262" t="s">
        <v>219</v>
      </c>
      <c r="B262">
        <f>IF($C$60&gt;=13,IF($C$60=13,F13+$C$37*$C$61,F13),"")</f>
        <v>369.03</v>
      </c>
    </row>
    <row r="263" spans="1:2" ht="13.9" hidden="1" x14ac:dyDescent="0.4">
      <c r="A263" t="s">
        <v>218</v>
      </c>
      <c r="B263">
        <f>IF($C$60&gt;=14,IF($C$60=14,F13+$C$37*$C$61,F13),"")</f>
        <v>369.03</v>
      </c>
    </row>
    <row r="264" spans="1:2" ht="13.9" hidden="1" x14ac:dyDescent="0.4">
      <c r="A264" t="s">
        <v>217</v>
      </c>
      <c r="B264">
        <f>IF($C$60&gt;=15,IF($C$60=15,F13+$C$37*$C$61,F13),"")</f>
        <v>434.13</v>
      </c>
    </row>
    <row r="265" spans="1:2" ht="13.9" hidden="1" x14ac:dyDescent="0.4">
      <c r="A265" t="s">
        <v>394</v>
      </c>
      <c r="B265" t="str">
        <f>IF($C$60&gt;=16,IF($C$60=16,F13+$C$37*$C$61,F13),"")</f>
        <v/>
      </c>
    </row>
    <row r="266" spans="1:2" ht="13.9" hidden="1" x14ac:dyDescent="0.4">
      <c r="A266" t="s">
        <v>393</v>
      </c>
      <c r="B266" t="str">
        <f>IF($C$60&gt;=17,IF($C$60=17,F13+$C$37*$C$61,F13),"")</f>
        <v/>
      </c>
    </row>
    <row r="267" spans="1:2" ht="13.9" hidden="1" x14ac:dyDescent="0.4">
      <c r="A267" t="s">
        <v>392</v>
      </c>
      <c r="B267" t="str">
        <f>IF($C$60&gt;=18,IF($C$60=18,F13+$C$37*$C$61,F13),"")</f>
        <v/>
      </c>
    </row>
    <row r="268" spans="1:2" ht="13.9" hidden="1" x14ac:dyDescent="0.4">
      <c r="A268" t="s">
        <v>391</v>
      </c>
      <c r="B268" t="str">
        <f>IF($C$60&gt;=19,IF($C$60=19,F13+$C$37*$C$61,F13),"")</f>
        <v/>
      </c>
    </row>
    <row r="269" spans="1:2" ht="13.9" hidden="1" x14ac:dyDescent="0.4">
      <c r="A269" t="s">
        <v>390</v>
      </c>
      <c r="B269" t="str">
        <f>IF($C$60&gt;=20,IF($C$60=20,F13+$C$37*$C$61,F13),"")</f>
        <v/>
      </c>
    </row>
    <row r="270" spans="1:2" ht="13.9" hidden="1" x14ac:dyDescent="0.4">
      <c r="A270" t="s">
        <v>389</v>
      </c>
      <c r="B270" t="str">
        <f>IF($C$60&gt;=21,IF($C$60=21,F13+$C$37*$C$61,F13),"")</f>
        <v/>
      </c>
    </row>
    <row r="271" spans="1:2" ht="13.9" hidden="1" x14ac:dyDescent="0.4">
      <c r="A271" t="s">
        <v>388</v>
      </c>
      <c r="B271" t="str">
        <f>IF($C$60&gt;=22,IF($C$60=22,F13+$C$37*$C$61,F13),"")</f>
        <v/>
      </c>
    </row>
    <row r="272" spans="1:2" ht="13.9" hidden="1" x14ac:dyDescent="0.4">
      <c r="A272" t="s">
        <v>387</v>
      </c>
      <c r="B272" t="str">
        <f>IF($C$60&gt;=23,IF($C$60=23,F13+$C$37*$C$61,F13),"")</f>
        <v/>
      </c>
    </row>
    <row r="273" spans="1:2" ht="13.9" hidden="1" x14ac:dyDescent="0.4">
      <c r="A273" t="s">
        <v>386</v>
      </c>
      <c r="B273" t="str">
        <f>IF($C$60&gt;=24,IF($C$60=24,F13+$C$37*$C$61,F13),"")</f>
        <v/>
      </c>
    </row>
    <row r="274" spans="1:2" ht="13.9" hidden="1" x14ac:dyDescent="0.4">
      <c r="A274" t="s">
        <v>385</v>
      </c>
      <c r="B274" t="str">
        <f>IF($C$60&gt;=25,IF($C$60=25,F13+$C$37*$C$61,F13),"")</f>
        <v/>
      </c>
    </row>
    <row r="275" spans="1:2" ht="13.9" hidden="1" x14ac:dyDescent="0.4">
      <c r="A275" t="s">
        <v>384</v>
      </c>
      <c r="B275" t="str">
        <f>IF($C$60&gt;=26,IF($C$60=26,F13+$C$37*$C$61,F13),"")</f>
        <v/>
      </c>
    </row>
    <row r="276" spans="1:2" ht="13.9" hidden="1" x14ac:dyDescent="0.4">
      <c r="A276" t="s">
        <v>383</v>
      </c>
      <c r="B276" t="str">
        <f>IF($C$60&gt;=27,IF($C$60=27,F13+$C$37*$C$61,F13),"")</f>
        <v/>
      </c>
    </row>
    <row r="277" spans="1:2" ht="13.9" hidden="1" x14ac:dyDescent="0.4">
      <c r="A277" t="s">
        <v>382</v>
      </c>
      <c r="B277" t="str">
        <f>IF($C$60&gt;=28,IF($C$60=28,F13+$C$37*$C$61,F13),"")</f>
        <v/>
      </c>
    </row>
    <row r="278" spans="1:2" ht="13.9" hidden="1" x14ac:dyDescent="0.4">
      <c r="A278" t="s">
        <v>381</v>
      </c>
      <c r="B278" t="str">
        <f>IF($C$60&gt;=29,IF($C$60=29,F13+$C$37*$C$61,F13),"")</f>
        <v/>
      </c>
    </row>
    <row r="279" spans="1:2" ht="13.9" hidden="1" x14ac:dyDescent="0.4">
      <c r="A279" t="s">
        <v>380</v>
      </c>
      <c r="B279" t="str">
        <f>IF($C$60&gt;=30,IF($C$60=30,F13+$C$37*$C$61,F13),"")</f>
        <v/>
      </c>
    </row>
    <row r="280" spans="1:2" ht="13.9" hidden="1" x14ac:dyDescent="0.4">
      <c r="A280" t="s">
        <v>379</v>
      </c>
      <c r="B280" t="str">
        <f>IF($C$60&gt;=31,IF($C$60=31,F13+$C$37*$C$61,F13),"")</f>
        <v/>
      </c>
    </row>
    <row r="281" spans="1:2" ht="13.9" hidden="1" x14ac:dyDescent="0.4">
      <c r="A281" t="s">
        <v>378</v>
      </c>
      <c r="B281" t="str">
        <f>IF($C$60&gt;=32,IF($C$60=32,F13+$C$37*$C$61,F13),"")</f>
        <v/>
      </c>
    </row>
    <row r="282" spans="1:2" ht="13.9" hidden="1" x14ac:dyDescent="0.4">
      <c r="A282" t="s">
        <v>377</v>
      </c>
      <c r="B282" t="str">
        <f>IF($C$60&gt;=33,IF($C$60=33,F13+$C$37*$C$61,F13),"")</f>
        <v/>
      </c>
    </row>
    <row r="283" spans="1:2" ht="13.9" hidden="1" x14ac:dyDescent="0.4">
      <c r="A283" t="s">
        <v>376</v>
      </c>
      <c r="B283" t="str">
        <f>IF($C$60&gt;=34,IF($C$60=34,F13+$C$37*$C$61,F13),"")</f>
        <v/>
      </c>
    </row>
    <row r="284" spans="1:2" ht="13.9" hidden="1" x14ac:dyDescent="0.4">
      <c r="A284" t="s">
        <v>375</v>
      </c>
      <c r="B284" t="str">
        <f>IF($C$60&gt;=35,IF($C$60=35,F13+$C$37*$C$61,F13),"")</f>
        <v/>
      </c>
    </row>
    <row r="285" spans="1:2" ht="13.9" hidden="1" x14ac:dyDescent="0.4">
      <c r="A285" t="s">
        <v>374</v>
      </c>
      <c r="B285" t="str">
        <f>IF($C$60&gt;=36,IF($C$60=36,F13+$C$37*$C$61,F13),"")</f>
        <v/>
      </c>
    </row>
    <row r="286" spans="1:2" ht="13.9" hidden="1" x14ac:dyDescent="0.4">
      <c r="A286" t="s">
        <v>373</v>
      </c>
      <c r="B286" t="str">
        <f>IF($C$60&gt;=37,IF($C$60=37,F13+$C$37*$C$61,F13),"")</f>
        <v/>
      </c>
    </row>
    <row r="287" spans="1:2" ht="13.9" hidden="1" x14ac:dyDescent="0.4">
      <c r="A287" t="s">
        <v>372</v>
      </c>
      <c r="B287" t="str">
        <f>IF($C$60&gt;=38,IF($C$60=38,F13+$C$37*$C$61,F13),"")</f>
        <v/>
      </c>
    </row>
    <row r="288" spans="1:2" ht="13.9" hidden="1" x14ac:dyDescent="0.4">
      <c r="A288" t="s">
        <v>371</v>
      </c>
      <c r="B288" t="str">
        <f>IF($C$60&gt;=39,IF($C$60=39,F13+$C$37*$C$61,F13),"")</f>
        <v/>
      </c>
    </row>
    <row r="289" spans="1:2" ht="13.9" hidden="1" x14ac:dyDescent="0.4">
      <c r="A289" t="s">
        <v>370</v>
      </c>
      <c r="B289" t="str">
        <f>IF($C$60&gt;=40,IF($C$60=40,F13+$C$37*$C$61,F13),"")</f>
        <v/>
      </c>
    </row>
    <row r="291" spans="1:2" ht="13.9" hidden="1" x14ac:dyDescent="0.4">
      <c r="A291" t="s">
        <v>237</v>
      </c>
    </row>
    <row r="292" spans="1:2" ht="13.9" hidden="1" x14ac:dyDescent="0.4">
      <c r="A292" t="s">
        <v>232</v>
      </c>
      <c r="B292">
        <f>-$C$37</f>
        <v>-651</v>
      </c>
    </row>
    <row r="293" spans="1:2" ht="13.9" hidden="1" x14ac:dyDescent="0.4">
      <c r="A293" t="s">
        <v>231</v>
      </c>
      <c r="B293">
        <f>IF($C$60&gt;=1,IF($C$60=1,G13+$C$37*$C$61,G13),"")</f>
        <v>447.23</v>
      </c>
    </row>
    <row r="294" spans="1:2" ht="13.9" hidden="1" x14ac:dyDescent="0.4">
      <c r="A294" t="s">
        <v>230</v>
      </c>
      <c r="B294">
        <f>IF($C$60&gt;=2,IF($C$60=2,G13+$C$37*$C$61,G13),"")</f>
        <v>447.23</v>
      </c>
    </row>
    <row r="295" spans="1:2" ht="13.9" hidden="1" x14ac:dyDescent="0.4">
      <c r="A295" t="s">
        <v>229</v>
      </c>
      <c r="B295">
        <f>IF($C$60&gt;=3,IF($C$60=3,G13+$C$37*$C$61,G13),"")</f>
        <v>447.23</v>
      </c>
    </row>
    <row r="296" spans="1:2" ht="13.9" hidden="1" x14ac:dyDescent="0.4">
      <c r="A296" t="s">
        <v>228</v>
      </c>
      <c r="B296">
        <f>IF($C$60&gt;=4,IF($C$60=4,G13+$C$37*$C$61,G13),"")</f>
        <v>447.23</v>
      </c>
    </row>
    <row r="297" spans="1:2" ht="13.9" hidden="1" x14ac:dyDescent="0.4">
      <c r="A297" t="s">
        <v>227</v>
      </c>
      <c r="B297">
        <f>IF($C$60&gt;=5,IF($C$60=5,G13+$C$37*$C$61,G13),"")</f>
        <v>447.23</v>
      </c>
    </row>
    <row r="298" spans="1:2" ht="13.9" hidden="1" x14ac:dyDescent="0.4">
      <c r="A298" t="s">
        <v>226</v>
      </c>
      <c r="B298">
        <f>IF($C$60&gt;=6,IF($C$60=6,G13+$C$37*$C$61,G13),"")</f>
        <v>447.23</v>
      </c>
    </row>
    <row r="299" spans="1:2" ht="13.9" hidden="1" x14ac:dyDescent="0.4">
      <c r="A299" t="s">
        <v>225</v>
      </c>
      <c r="B299">
        <f>IF($C$60&gt;=7,IF($C$60=7,G13+$C$37*$C$61,G13),"")</f>
        <v>447.23</v>
      </c>
    </row>
    <row r="300" spans="1:2" ht="13.9" hidden="1" x14ac:dyDescent="0.4">
      <c r="A300" t="s">
        <v>224</v>
      </c>
      <c r="B300">
        <f>IF($C$60&gt;=8,IF($C$60=8,G13+$C$37*$C$61,G13),"")</f>
        <v>447.23</v>
      </c>
    </row>
    <row r="301" spans="1:2" ht="13.9" hidden="1" x14ac:dyDescent="0.4">
      <c r="A301" t="s">
        <v>223</v>
      </c>
      <c r="B301">
        <f>IF($C$60&gt;=9,IF($C$60=9,G13+$C$37*$C$61,G13),"")</f>
        <v>447.23</v>
      </c>
    </row>
    <row r="302" spans="1:2" ht="13.9" hidden="1" x14ac:dyDescent="0.4">
      <c r="A302" t="s">
        <v>222</v>
      </c>
      <c r="B302">
        <f>IF($C$60&gt;=10,IF($C$60=10,G13+$C$37*$C$61,G13),"")</f>
        <v>447.23</v>
      </c>
    </row>
    <row r="303" spans="1:2" ht="13.9" hidden="1" x14ac:dyDescent="0.4">
      <c r="A303" t="s">
        <v>221</v>
      </c>
      <c r="B303">
        <f>IF($C$60&gt;=11,IF($C$60=11,G13+$C$37*$C$61,G13),"")</f>
        <v>447.23</v>
      </c>
    </row>
    <row r="304" spans="1:2" ht="13.9" hidden="1" x14ac:dyDescent="0.4">
      <c r="A304" t="s">
        <v>220</v>
      </c>
      <c r="B304">
        <f>IF($C$60&gt;=12,IF($C$60=12,G13+$C$37*$C$61,G13),"")</f>
        <v>447.23</v>
      </c>
    </row>
    <row r="305" spans="1:2" ht="13.9" hidden="1" x14ac:dyDescent="0.4">
      <c r="A305" t="s">
        <v>219</v>
      </c>
      <c r="B305">
        <f>IF($C$60&gt;=13,IF($C$60=13,G13+$C$37*$C$61,G13),"")</f>
        <v>447.23</v>
      </c>
    </row>
    <row r="306" spans="1:2" ht="13.9" hidden="1" x14ac:dyDescent="0.4">
      <c r="A306" t="s">
        <v>218</v>
      </c>
      <c r="B306">
        <f>IF($C$60&gt;=14,IF($C$60=14,G13+$C$37*$C$61,G13),"")</f>
        <v>447.23</v>
      </c>
    </row>
    <row r="307" spans="1:2" ht="13.9" hidden="1" x14ac:dyDescent="0.4">
      <c r="A307" t="s">
        <v>217</v>
      </c>
      <c r="B307">
        <f>IF($C$60&gt;=15,IF($C$60=15,G13+$C$37*$C$61,G13),"")</f>
        <v>512.33000000000004</v>
      </c>
    </row>
    <row r="308" spans="1:2" ht="13.9" hidden="1" x14ac:dyDescent="0.4">
      <c r="A308" t="s">
        <v>394</v>
      </c>
      <c r="B308" t="str">
        <f>IF($C$60&gt;=16,IF($C$60=16,G13+$C$37*$C$61,G13),"")</f>
        <v/>
      </c>
    </row>
    <row r="309" spans="1:2" ht="13.9" hidden="1" x14ac:dyDescent="0.4">
      <c r="A309" t="s">
        <v>393</v>
      </c>
      <c r="B309" t="str">
        <f>IF($C$60&gt;=17,IF($C$60=17,G13+$C$37*$C$61,G13),"")</f>
        <v/>
      </c>
    </row>
    <row r="310" spans="1:2" ht="13.9" hidden="1" x14ac:dyDescent="0.4">
      <c r="A310" t="s">
        <v>392</v>
      </c>
      <c r="B310" t="str">
        <f>IF($C$60&gt;=18,IF($C$60=18,G13+$C$37*$C$61,G13),"")</f>
        <v/>
      </c>
    </row>
    <row r="311" spans="1:2" ht="13.9" hidden="1" x14ac:dyDescent="0.4">
      <c r="A311" t="s">
        <v>391</v>
      </c>
      <c r="B311" t="str">
        <f>IF($C$60&gt;=19,IF($C$60=19,G13+$C$37*$C$61,G13),"")</f>
        <v/>
      </c>
    </row>
    <row r="312" spans="1:2" ht="13.9" hidden="1" x14ac:dyDescent="0.4">
      <c r="A312" t="s">
        <v>390</v>
      </c>
      <c r="B312" t="str">
        <f>IF($C$60&gt;=20,IF($C$60=20,G13+$C$37*$C$61,G13),"")</f>
        <v/>
      </c>
    </row>
    <row r="313" spans="1:2" ht="13.9" hidden="1" x14ac:dyDescent="0.4">
      <c r="A313" t="s">
        <v>389</v>
      </c>
      <c r="B313" t="str">
        <f>IF($C$60&gt;=21,IF($C$60=21,G13+$C$37*$C$61,G13),"")</f>
        <v/>
      </c>
    </row>
    <row r="314" spans="1:2" ht="13.9" hidden="1" x14ac:dyDescent="0.4">
      <c r="A314" t="s">
        <v>388</v>
      </c>
      <c r="B314" t="str">
        <f>IF($C$60&gt;=22,IF($C$60=22,G13+$C$37*$C$61,G13),"")</f>
        <v/>
      </c>
    </row>
    <row r="315" spans="1:2" ht="13.9" hidden="1" x14ac:dyDescent="0.4">
      <c r="A315" t="s">
        <v>387</v>
      </c>
      <c r="B315" t="str">
        <f>IF($C$60&gt;=23,IF($C$60=23,G13+$C$37*$C$61,G13),"")</f>
        <v/>
      </c>
    </row>
    <row r="316" spans="1:2" ht="13.9" hidden="1" x14ac:dyDescent="0.4">
      <c r="A316" t="s">
        <v>386</v>
      </c>
      <c r="B316" t="str">
        <f>IF($C$60&gt;=24,IF($C$60=24,G13+$C$37*$C$61,G13),"")</f>
        <v/>
      </c>
    </row>
    <row r="317" spans="1:2" ht="13.9" hidden="1" x14ac:dyDescent="0.4">
      <c r="A317" t="s">
        <v>385</v>
      </c>
      <c r="B317" t="str">
        <f>IF($C$60&gt;=25,IF($C$60=25,G13+$C$37*$C$61,G13),"")</f>
        <v/>
      </c>
    </row>
    <row r="318" spans="1:2" ht="13.9" hidden="1" x14ac:dyDescent="0.4">
      <c r="A318" t="s">
        <v>384</v>
      </c>
      <c r="B318" t="str">
        <f>IF($C$60&gt;=26,IF($C$60=26,G13+$C$37*$C$61,G13),"")</f>
        <v/>
      </c>
    </row>
    <row r="319" spans="1:2" ht="13.9" hidden="1" x14ac:dyDescent="0.4">
      <c r="A319" t="s">
        <v>383</v>
      </c>
      <c r="B319" t="str">
        <f>IF($C$60&gt;=27,IF($C$60=27,G13+$C$37*$C$61,G13),"")</f>
        <v/>
      </c>
    </row>
    <row r="320" spans="1:2" ht="13.9" hidden="1" x14ac:dyDescent="0.4">
      <c r="A320" t="s">
        <v>382</v>
      </c>
      <c r="B320" t="str">
        <f>IF($C$60&gt;=28,IF($C$60=28,G13+$C$37*$C$61,G13),"")</f>
        <v/>
      </c>
    </row>
    <row r="321" spans="1:2" ht="13.9" hidden="1" x14ac:dyDescent="0.4">
      <c r="A321" t="s">
        <v>381</v>
      </c>
      <c r="B321" t="str">
        <f>IF($C$60&gt;=29,IF($C$60=29,G13+$C$37*$C$61,G13),"")</f>
        <v/>
      </c>
    </row>
    <row r="322" spans="1:2" ht="13.9" hidden="1" x14ac:dyDescent="0.4">
      <c r="A322" t="s">
        <v>380</v>
      </c>
      <c r="B322" t="str">
        <f>IF($C$60&gt;=30,IF($C$60=30,G13+$C$37*$C$61,G13),"")</f>
        <v/>
      </c>
    </row>
    <row r="323" spans="1:2" ht="13.9" hidden="1" x14ac:dyDescent="0.4">
      <c r="A323" t="s">
        <v>379</v>
      </c>
      <c r="B323" t="str">
        <f>IF($C$60&gt;=31,IF($C$60=31,G13+$C$37*$C$61,G13),"")</f>
        <v/>
      </c>
    </row>
    <row r="324" spans="1:2" ht="13.9" hidden="1" x14ac:dyDescent="0.4">
      <c r="A324" t="s">
        <v>378</v>
      </c>
      <c r="B324" t="str">
        <f>IF($C$60&gt;=32,IF($C$60=32,G13+$C$37*$C$61,G13),"")</f>
        <v/>
      </c>
    </row>
    <row r="325" spans="1:2" ht="13.9" hidden="1" x14ac:dyDescent="0.4">
      <c r="A325" t="s">
        <v>377</v>
      </c>
      <c r="B325" t="str">
        <f>IF($C$60&gt;=33,IF($C$60=33,G13+$C$37*$C$61,G13),"")</f>
        <v/>
      </c>
    </row>
    <row r="326" spans="1:2" ht="13.9" hidden="1" x14ac:dyDescent="0.4">
      <c r="A326" t="s">
        <v>376</v>
      </c>
      <c r="B326" t="str">
        <f>IF($C$60&gt;=34,IF($C$60=34,G13+$C$37*$C$61,G13),"")</f>
        <v/>
      </c>
    </row>
    <row r="327" spans="1:2" ht="13.9" hidden="1" x14ac:dyDescent="0.4">
      <c r="A327" t="s">
        <v>375</v>
      </c>
      <c r="B327" t="str">
        <f>IF($C$60&gt;=35,IF($C$60=35,G13+$C$37*$C$61,G13),"")</f>
        <v/>
      </c>
    </row>
    <row r="328" spans="1:2" ht="13.9" hidden="1" x14ac:dyDescent="0.4">
      <c r="A328" t="s">
        <v>374</v>
      </c>
      <c r="B328" t="str">
        <f>IF($C$60&gt;=36,IF($C$60=36,G13+$C$37*$C$61,G13),"")</f>
        <v/>
      </c>
    </row>
    <row r="329" spans="1:2" ht="13.9" hidden="1" x14ac:dyDescent="0.4">
      <c r="A329" t="s">
        <v>373</v>
      </c>
      <c r="B329" t="str">
        <f>IF($C$60&gt;=37,IF($C$60=37,G13+$C$37*$C$61,G13),"")</f>
        <v/>
      </c>
    </row>
    <row r="330" spans="1:2" ht="13.9" hidden="1" x14ac:dyDescent="0.4">
      <c r="A330" t="s">
        <v>372</v>
      </c>
      <c r="B330" t="str">
        <f>IF($C$60&gt;=38,IF($C$60=38,G13+$C$37*$C$61,G13),"")</f>
        <v/>
      </c>
    </row>
    <row r="331" spans="1:2" ht="13.9" hidden="1" x14ac:dyDescent="0.4">
      <c r="A331" t="s">
        <v>371</v>
      </c>
      <c r="B331" t="str">
        <f>IF($C$60&gt;=39,IF($C$60=39,G13+$C$37*$C$61,G13),"")</f>
        <v/>
      </c>
    </row>
    <row r="332" spans="1:2" ht="13.9" hidden="1" x14ac:dyDescent="0.4">
      <c r="A332" t="s">
        <v>370</v>
      </c>
      <c r="B332" t="str">
        <f>IF($C$60&gt;=40,IF($C$60=40,G13+$C$37*$C$61,G13),"")</f>
        <v/>
      </c>
    </row>
    <row r="334" spans="1:2" ht="13.9" hidden="1" x14ac:dyDescent="0.4">
      <c r="A334" t="s">
        <v>236</v>
      </c>
    </row>
    <row r="335" spans="1:2" ht="13.9" hidden="1" x14ac:dyDescent="0.4">
      <c r="A335" t="s">
        <v>232</v>
      </c>
      <c r="B335">
        <f>-$C$37</f>
        <v>-651</v>
      </c>
    </row>
    <row r="336" spans="1:2" ht="13.9" hidden="1" x14ac:dyDescent="0.4">
      <c r="A336" t="s">
        <v>231</v>
      </c>
      <c r="B336">
        <f>IF($C$60&gt;=1,IF($C$60=1,H13+$C$37*$C$61,H13),"")</f>
        <v>525.45000000000005</v>
      </c>
    </row>
    <row r="337" spans="1:2" ht="13.9" hidden="1" x14ac:dyDescent="0.4">
      <c r="A337" t="s">
        <v>230</v>
      </c>
      <c r="B337">
        <f>IF($C$60&gt;=2,IF($C$60=2,H13+$C$37*$C$61,H13),"")</f>
        <v>525.45000000000005</v>
      </c>
    </row>
    <row r="338" spans="1:2" ht="13.9" hidden="1" x14ac:dyDescent="0.4">
      <c r="A338" t="s">
        <v>229</v>
      </c>
      <c r="B338">
        <f>IF($C$60&gt;=3,IF($C$60=3,H13+$C$37*$C$61,H13),"")</f>
        <v>525.45000000000005</v>
      </c>
    </row>
    <row r="339" spans="1:2" ht="13.9" hidden="1" x14ac:dyDescent="0.4">
      <c r="A339" t="s">
        <v>228</v>
      </c>
      <c r="B339">
        <f>IF($C$60&gt;=4,IF($C$60=4,H13+$C$37*$C$61,H13),"")</f>
        <v>525.45000000000005</v>
      </c>
    </row>
    <row r="340" spans="1:2" ht="13.9" hidden="1" x14ac:dyDescent="0.4">
      <c r="A340" t="s">
        <v>227</v>
      </c>
      <c r="B340">
        <f>IF($C$60&gt;=5,IF($C$60=5,H13+$C$37*$C$61,H13),"")</f>
        <v>525.45000000000005</v>
      </c>
    </row>
    <row r="341" spans="1:2" ht="13.9" hidden="1" x14ac:dyDescent="0.4">
      <c r="A341" t="s">
        <v>226</v>
      </c>
      <c r="B341">
        <f>IF($C$60&gt;=6,IF($C$60=6,H13+$C$37*$C$61,H13),"")</f>
        <v>525.45000000000005</v>
      </c>
    </row>
    <row r="342" spans="1:2" ht="13.9" hidden="1" x14ac:dyDescent="0.4">
      <c r="A342" t="s">
        <v>225</v>
      </c>
      <c r="B342">
        <f>IF($C$60&gt;=7,IF($C$60=7,H13+$C$37*$C$61,H13),"")</f>
        <v>525.45000000000005</v>
      </c>
    </row>
    <row r="343" spans="1:2" ht="13.9" hidden="1" x14ac:dyDescent="0.4">
      <c r="A343" t="s">
        <v>224</v>
      </c>
      <c r="B343">
        <f>IF($C$60&gt;=8,IF($C$60=8,H13+$C$37*$C$61,H13),"")</f>
        <v>525.45000000000005</v>
      </c>
    </row>
    <row r="344" spans="1:2" ht="13.9" hidden="1" x14ac:dyDescent="0.4">
      <c r="A344" t="s">
        <v>223</v>
      </c>
      <c r="B344">
        <f>IF($C$60&gt;=9,IF($C$60=9,H13+$C$37*$C$61,H13),"")</f>
        <v>525.45000000000005</v>
      </c>
    </row>
    <row r="345" spans="1:2" ht="13.9" hidden="1" x14ac:dyDescent="0.4">
      <c r="A345" t="s">
        <v>222</v>
      </c>
      <c r="B345">
        <f>IF($C$60&gt;=10,IF($C$60=10,H13+$C$37*$C$61,H13),"")</f>
        <v>525.45000000000005</v>
      </c>
    </row>
    <row r="346" spans="1:2" ht="13.9" hidden="1" x14ac:dyDescent="0.4">
      <c r="A346" t="s">
        <v>221</v>
      </c>
      <c r="B346">
        <f>IF($C$60&gt;=11,IF($C$60=11,H13+$C$37*$C$61,H13),"")</f>
        <v>525.45000000000005</v>
      </c>
    </row>
    <row r="347" spans="1:2" ht="13.9" hidden="1" x14ac:dyDescent="0.4">
      <c r="A347" t="s">
        <v>220</v>
      </c>
      <c r="B347">
        <f>IF($C$60&gt;=12,IF($C$60=12,H13+$C$37*$C$61,H13),"")</f>
        <v>525.45000000000005</v>
      </c>
    </row>
    <row r="348" spans="1:2" ht="13.9" hidden="1" x14ac:dyDescent="0.4">
      <c r="A348" t="s">
        <v>219</v>
      </c>
      <c r="B348">
        <f>IF($C$60&gt;=13,IF($C$60=13,H13+$C$37*$C$61,H13),"")</f>
        <v>525.45000000000005</v>
      </c>
    </row>
    <row r="349" spans="1:2" ht="13.9" hidden="1" x14ac:dyDescent="0.4">
      <c r="A349" t="s">
        <v>218</v>
      </c>
      <c r="B349">
        <f>IF($C$60&gt;=14,IF($C$60=14,H13+$C$37*$C$61,H13),"")</f>
        <v>525.45000000000005</v>
      </c>
    </row>
    <row r="350" spans="1:2" ht="13.9" hidden="1" x14ac:dyDescent="0.4">
      <c r="A350" t="s">
        <v>217</v>
      </c>
      <c r="B350">
        <f>IF($C$60&gt;=15,IF($C$60=15,H13+$C$37*$C$61,H13),"")</f>
        <v>590.55000000000007</v>
      </c>
    </row>
    <row r="351" spans="1:2" ht="13.9" hidden="1" x14ac:dyDescent="0.4">
      <c r="A351" t="s">
        <v>394</v>
      </c>
      <c r="B351" t="str">
        <f>IF($C$60&gt;=16,IF($C$60=16,H13+$C$37*$C$61,H13),"")</f>
        <v/>
      </c>
    </row>
    <row r="352" spans="1:2" ht="13.9" hidden="1" x14ac:dyDescent="0.4">
      <c r="A352" t="s">
        <v>393</v>
      </c>
      <c r="B352" t="str">
        <f>IF($C$60&gt;=17,IF($C$60=17,H13+$C$37*$C$61,H13),"")</f>
        <v/>
      </c>
    </row>
    <row r="353" spans="1:2" ht="13.9" hidden="1" x14ac:dyDescent="0.4">
      <c r="A353" t="s">
        <v>392</v>
      </c>
      <c r="B353" t="str">
        <f>IF($C$60&gt;=18,IF($C$60=18,H13+$C$37*$C$61,H13),"")</f>
        <v/>
      </c>
    </row>
    <row r="354" spans="1:2" ht="13.9" hidden="1" x14ac:dyDescent="0.4">
      <c r="A354" t="s">
        <v>391</v>
      </c>
      <c r="B354" t="str">
        <f>IF($C$60&gt;=19,IF($C$60=19,H13+$C$37*$C$61,H13),"")</f>
        <v/>
      </c>
    </row>
    <row r="355" spans="1:2" ht="13.9" hidden="1" x14ac:dyDescent="0.4">
      <c r="A355" t="s">
        <v>390</v>
      </c>
      <c r="B355" t="str">
        <f>IF($C$60&gt;=20,IF($C$60=20,H13+$C$37*$C$61,H13),"")</f>
        <v/>
      </c>
    </row>
    <row r="356" spans="1:2" ht="13.9" hidden="1" x14ac:dyDescent="0.4">
      <c r="A356" t="s">
        <v>389</v>
      </c>
      <c r="B356" t="str">
        <f>IF($C$60&gt;=21,IF($C$60=21,H13+$C$37*$C$61,H13),"")</f>
        <v/>
      </c>
    </row>
    <row r="357" spans="1:2" ht="13.9" hidden="1" x14ac:dyDescent="0.4">
      <c r="A357" t="s">
        <v>388</v>
      </c>
      <c r="B357" t="str">
        <f>IF($C$60&gt;=22,IF($C$60=22,H13+$C$37*$C$61,H13),"")</f>
        <v/>
      </c>
    </row>
    <row r="358" spans="1:2" ht="13.9" hidden="1" x14ac:dyDescent="0.4">
      <c r="A358" t="s">
        <v>387</v>
      </c>
      <c r="B358" t="str">
        <f>IF($C$60&gt;=23,IF($C$60=23,H13+$C$37*$C$61,H13),"")</f>
        <v/>
      </c>
    </row>
    <row r="359" spans="1:2" ht="13.9" hidden="1" x14ac:dyDescent="0.4">
      <c r="A359" t="s">
        <v>386</v>
      </c>
      <c r="B359" t="str">
        <f>IF($C$60&gt;=24,IF($C$60=24,H13+$C$37*$C$61,H13),"")</f>
        <v/>
      </c>
    </row>
    <row r="360" spans="1:2" ht="13.9" hidden="1" x14ac:dyDescent="0.4">
      <c r="A360" t="s">
        <v>385</v>
      </c>
      <c r="B360" t="str">
        <f>IF($C$60&gt;=25,IF($C$60=25,H13+$C$37*$C$61,H13),"")</f>
        <v/>
      </c>
    </row>
    <row r="361" spans="1:2" ht="13.9" hidden="1" x14ac:dyDescent="0.4">
      <c r="A361" t="s">
        <v>384</v>
      </c>
      <c r="B361" t="str">
        <f>IF($C$60&gt;=26,IF($C$60=26,H13+$C$37*$C$61,H13),"")</f>
        <v/>
      </c>
    </row>
    <row r="362" spans="1:2" ht="13.9" hidden="1" x14ac:dyDescent="0.4">
      <c r="A362" t="s">
        <v>383</v>
      </c>
      <c r="B362" t="str">
        <f>IF($C$60&gt;=27,IF($C$60=27,H13+$C$37*$C$61,H13),"")</f>
        <v/>
      </c>
    </row>
    <row r="363" spans="1:2" ht="13.9" hidden="1" x14ac:dyDescent="0.4">
      <c r="A363" t="s">
        <v>382</v>
      </c>
      <c r="B363" t="str">
        <f>IF($C$60&gt;=28,IF($C$60=28,H13+$C$37*$C$61,H13),"")</f>
        <v/>
      </c>
    </row>
    <row r="364" spans="1:2" ht="13.9" hidden="1" x14ac:dyDescent="0.4">
      <c r="A364" t="s">
        <v>381</v>
      </c>
      <c r="B364" t="str">
        <f>IF($C$60&gt;=29,IF($C$60=29,H13+$C$37*$C$61,H13),"")</f>
        <v/>
      </c>
    </row>
    <row r="365" spans="1:2" ht="13.9" hidden="1" x14ac:dyDescent="0.4">
      <c r="A365" t="s">
        <v>380</v>
      </c>
      <c r="B365" t="str">
        <f>IF($C$60&gt;=30,IF($C$60=30,H13+$C$37*$C$61,H13),"")</f>
        <v/>
      </c>
    </row>
    <row r="366" spans="1:2" ht="13.9" hidden="1" x14ac:dyDescent="0.4">
      <c r="A366" t="s">
        <v>379</v>
      </c>
      <c r="B366" t="str">
        <f>IF($C$60&gt;=31,IF($C$60=31,H13+$C$37*$C$61,H13),"")</f>
        <v/>
      </c>
    </row>
    <row r="367" spans="1:2" ht="13.9" hidden="1" x14ac:dyDescent="0.4">
      <c r="A367" t="s">
        <v>378</v>
      </c>
      <c r="B367" t="str">
        <f>IF($C$60&gt;=32,IF($C$60=32,H13+$C$37*$C$61,H13),"")</f>
        <v/>
      </c>
    </row>
    <row r="368" spans="1:2" ht="13.9" hidden="1" x14ac:dyDescent="0.4">
      <c r="A368" t="s">
        <v>377</v>
      </c>
      <c r="B368" t="str">
        <f>IF($C$60&gt;=33,IF($C$60=33,H13+$C$37*$C$61,H13),"")</f>
        <v/>
      </c>
    </row>
    <row r="369" spans="1:2" ht="13.9" hidden="1" x14ac:dyDescent="0.4">
      <c r="A369" t="s">
        <v>376</v>
      </c>
      <c r="B369" t="str">
        <f>IF($C$60&gt;=34,IF($C$60=34,H13+$C$37*$C$61,H13),"")</f>
        <v/>
      </c>
    </row>
    <row r="370" spans="1:2" ht="13.9" hidden="1" x14ac:dyDescent="0.4">
      <c r="A370" t="s">
        <v>375</v>
      </c>
      <c r="B370" t="str">
        <f>IF($C$60&gt;=35,IF($C$60=35,H13+$C$37*$C$61,H13),"")</f>
        <v/>
      </c>
    </row>
    <row r="371" spans="1:2" ht="13.9" hidden="1" x14ac:dyDescent="0.4">
      <c r="A371" t="s">
        <v>374</v>
      </c>
      <c r="B371" t="str">
        <f>IF($C$60&gt;=36,IF($C$60=36,H13+$C$37*$C$61,H13),"")</f>
        <v/>
      </c>
    </row>
    <row r="372" spans="1:2" ht="13.9" hidden="1" x14ac:dyDescent="0.4">
      <c r="A372" t="s">
        <v>373</v>
      </c>
      <c r="B372" t="str">
        <f>IF($C$60&gt;=37,IF($C$60=37,H13+$C$37*$C$61,H13),"")</f>
        <v/>
      </c>
    </row>
    <row r="373" spans="1:2" ht="13.9" hidden="1" x14ac:dyDescent="0.4">
      <c r="A373" t="s">
        <v>372</v>
      </c>
      <c r="B373" t="str">
        <f>IF($C$60&gt;=38,IF($C$60=38,H13+$C$37*$C$61,H13),"")</f>
        <v/>
      </c>
    </row>
    <row r="374" spans="1:2" ht="13.9" hidden="1" x14ac:dyDescent="0.4">
      <c r="A374" t="s">
        <v>371</v>
      </c>
      <c r="B374" t="str">
        <f>IF($C$60&gt;=39,IF($C$60=39,H13+$C$37*$C$61,H13),"")</f>
        <v/>
      </c>
    </row>
    <row r="375" spans="1:2" ht="13.9" hidden="1" x14ac:dyDescent="0.4">
      <c r="A375" t="s">
        <v>370</v>
      </c>
      <c r="B375" t="str">
        <f>IF($C$60&gt;=40,IF($C$60=40,H13+$C$37*$C$61,H13),"")</f>
        <v/>
      </c>
    </row>
    <row r="377" spans="1:2" ht="13.9" hidden="1" x14ac:dyDescent="0.4">
      <c r="A377" t="s">
        <v>235</v>
      </c>
    </row>
    <row r="378" spans="1:2" ht="13.9" hidden="1" x14ac:dyDescent="0.4">
      <c r="A378" t="s">
        <v>232</v>
      </c>
      <c r="B378">
        <f>-$C$37</f>
        <v>-651</v>
      </c>
    </row>
    <row r="379" spans="1:2" ht="13.9" hidden="1" x14ac:dyDescent="0.4">
      <c r="A379" t="s">
        <v>231</v>
      </c>
      <c r="B379">
        <f>IF($C$60&gt;=1,IF($C$60=1,I13+$C$37*$C$61,I13),"")</f>
        <v>585.29</v>
      </c>
    </row>
    <row r="380" spans="1:2" ht="13.9" hidden="1" x14ac:dyDescent="0.4">
      <c r="A380" t="s">
        <v>230</v>
      </c>
      <c r="B380">
        <f>IF($C$60&gt;=2,IF($C$60=2,I13+$C$37*$C$61,I13),"")</f>
        <v>585.29</v>
      </c>
    </row>
    <row r="381" spans="1:2" ht="13.9" hidden="1" x14ac:dyDescent="0.4">
      <c r="A381" t="s">
        <v>229</v>
      </c>
      <c r="B381">
        <f>IF($C$60&gt;=3,IF($C$60=3,I13+$C$37*$C$61,I13),"")</f>
        <v>585.29</v>
      </c>
    </row>
    <row r="382" spans="1:2" ht="13.9" hidden="1" x14ac:dyDescent="0.4">
      <c r="A382" t="s">
        <v>228</v>
      </c>
      <c r="B382">
        <f>IF($C$60&gt;=4,IF($C$60=4,I13+$C$37*$C$61,I13),"")</f>
        <v>585.29</v>
      </c>
    </row>
    <row r="383" spans="1:2" ht="13.9" hidden="1" x14ac:dyDescent="0.4">
      <c r="A383" t="s">
        <v>227</v>
      </c>
      <c r="B383">
        <f>IF($C$60&gt;=5,IF($C$60=5,I13+$C$37*$C$61,I13),"")</f>
        <v>585.29</v>
      </c>
    </row>
    <row r="384" spans="1:2" ht="13.9" hidden="1" x14ac:dyDescent="0.4">
      <c r="A384" t="s">
        <v>226</v>
      </c>
      <c r="B384">
        <f>IF($C$60&gt;=6,IF($C$60=6,I13+$C$37*$C$61,I13),"")</f>
        <v>585.29</v>
      </c>
    </row>
    <row r="385" spans="1:2" ht="13.9" hidden="1" x14ac:dyDescent="0.4">
      <c r="A385" t="s">
        <v>225</v>
      </c>
      <c r="B385">
        <f>IF($C$60&gt;=7,IF($C$60=7,I13+$C$37*$C$61,I13),"")</f>
        <v>585.29</v>
      </c>
    </row>
    <row r="386" spans="1:2" ht="13.9" hidden="1" x14ac:dyDescent="0.4">
      <c r="A386" t="s">
        <v>224</v>
      </c>
      <c r="B386">
        <f>IF($C$60&gt;=8,IF($C$60=8,I13+$C$37*$C$61,I13),"")</f>
        <v>585.29</v>
      </c>
    </row>
    <row r="387" spans="1:2" ht="13.9" hidden="1" x14ac:dyDescent="0.4">
      <c r="A387" t="s">
        <v>223</v>
      </c>
      <c r="B387">
        <f>IF($C$60&gt;=9,IF($C$60=9,I13+$C$37*$C$61,I13),"")</f>
        <v>585.29</v>
      </c>
    </row>
    <row r="388" spans="1:2" ht="13.9" hidden="1" x14ac:dyDescent="0.4">
      <c r="A388" t="s">
        <v>222</v>
      </c>
      <c r="B388">
        <f>IF($C$60&gt;=10,IF($C$60=10,I13+$C$37*$C$61,I13),"")</f>
        <v>585.29</v>
      </c>
    </row>
    <row r="389" spans="1:2" ht="13.9" hidden="1" x14ac:dyDescent="0.4">
      <c r="A389" t="s">
        <v>221</v>
      </c>
      <c r="B389">
        <f>IF($C$60&gt;=11,IF($C$60=11,I13+$C$37*$C$61,I13),"")</f>
        <v>585.29</v>
      </c>
    </row>
    <row r="390" spans="1:2" ht="13.9" hidden="1" x14ac:dyDescent="0.4">
      <c r="A390" t="s">
        <v>220</v>
      </c>
      <c r="B390">
        <f>IF($C$60&gt;=12,IF($C$60=12,I13+$C$37*$C$61,I13),"")</f>
        <v>585.29</v>
      </c>
    </row>
    <row r="391" spans="1:2" ht="13.9" hidden="1" x14ac:dyDescent="0.4">
      <c r="A391" t="s">
        <v>219</v>
      </c>
      <c r="B391">
        <f>IF($C$60&gt;=13,IF($C$60=13,I13+$C$37*$C$61,I13),"")</f>
        <v>585.29</v>
      </c>
    </row>
    <row r="392" spans="1:2" ht="13.9" hidden="1" x14ac:dyDescent="0.4">
      <c r="A392" t="s">
        <v>218</v>
      </c>
      <c r="B392">
        <f>IF($C$60&gt;=14,IF($C$60=14,I13+$C$37*$C$61,I13),"")</f>
        <v>585.29</v>
      </c>
    </row>
    <row r="393" spans="1:2" ht="13.9" hidden="1" x14ac:dyDescent="0.4">
      <c r="A393" t="s">
        <v>217</v>
      </c>
      <c r="B393">
        <f>IF($C$60&gt;=15,IF($C$60=15,I13+$C$37*$C$61,I13),"")</f>
        <v>650.39</v>
      </c>
    </row>
    <row r="394" spans="1:2" ht="13.9" hidden="1" x14ac:dyDescent="0.4">
      <c r="A394" t="s">
        <v>394</v>
      </c>
      <c r="B394" t="str">
        <f>IF($C$60&gt;=16,IF($C$60=16,I13+$C$37*$C$61,I13),"")</f>
        <v/>
      </c>
    </row>
    <row r="395" spans="1:2" ht="13.9" hidden="1" x14ac:dyDescent="0.4">
      <c r="A395" t="s">
        <v>393</v>
      </c>
      <c r="B395" t="str">
        <f>IF($C$60&gt;=17,IF($C$60=17,I13+$C$37*$C$61,I13),"")</f>
        <v/>
      </c>
    </row>
    <row r="396" spans="1:2" ht="13.9" hidden="1" x14ac:dyDescent="0.4">
      <c r="A396" t="s">
        <v>392</v>
      </c>
      <c r="B396" t="str">
        <f>IF($C$60&gt;=18,IF($C$60=18,I13+$C$37*$C$61,I13),"")</f>
        <v/>
      </c>
    </row>
    <row r="397" spans="1:2" ht="13.9" hidden="1" x14ac:dyDescent="0.4">
      <c r="A397" t="s">
        <v>391</v>
      </c>
      <c r="B397" t="str">
        <f>IF($C$60&gt;=19,IF($C$60=19,I13+$C$37*$C$61,I13),"")</f>
        <v/>
      </c>
    </row>
    <row r="398" spans="1:2" ht="13.9" hidden="1" x14ac:dyDescent="0.4">
      <c r="A398" t="s">
        <v>390</v>
      </c>
      <c r="B398" t="str">
        <f>IF($C$60&gt;=20,IF($C$60=20,I13+$C$37*$C$61,I13),"")</f>
        <v/>
      </c>
    </row>
    <row r="399" spans="1:2" ht="13.9" hidden="1" x14ac:dyDescent="0.4">
      <c r="A399" t="s">
        <v>389</v>
      </c>
      <c r="B399" t="str">
        <f>IF($C$60&gt;=21,IF($C$60=21,I13+$C$37*$C$61,I13),"")</f>
        <v/>
      </c>
    </row>
    <row r="400" spans="1:2" ht="13.9" hidden="1" x14ac:dyDescent="0.4">
      <c r="A400" t="s">
        <v>388</v>
      </c>
      <c r="B400" t="str">
        <f>IF($C$60&gt;=22,IF($C$60=22,I13+$C$37*$C$61,I13),"")</f>
        <v/>
      </c>
    </row>
    <row r="401" spans="1:2" ht="13.9" hidden="1" x14ac:dyDescent="0.4">
      <c r="A401" t="s">
        <v>387</v>
      </c>
      <c r="B401" t="str">
        <f>IF($C$60&gt;=23,IF($C$60=23,I13+$C$37*$C$61,I13),"")</f>
        <v/>
      </c>
    </row>
    <row r="402" spans="1:2" ht="13.9" hidden="1" x14ac:dyDescent="0.4">
      <c r="A402" t="s">
        <v>386</v>
      </c>
      <c r="B402" t="str">
        <f>IF($C$60&gt;=24,IF($C$60=24,I13+$C$37*$C$61,I13),"")</f>
        <v/>
      </c>
    </row>
    <row r="403" spans="1:2" ht="13.9" hidden="1" x14ac:dyDescent="0.4">
      <c r="A403" t="s">
        <v>385</v>
      </c>
      <c r="B403" t="str">
        <f>IF($C$60&gt;=25,IF($C$60=25,I13+$C$37*$C$61,I13),"")</f>
        <v/>
      </c>
    </row>
    <row r="404" spans="1:2" ht="13.9" hidden="1" x14ac:dyDescent="0.4">
      <c r="A404" t="s">
        <v>384</v>
      </c>
      <c r="B404" t="str">
        <f>IF($C$60&gt;=26,IF($C$60=26,I13+$C$37*$C$61,I13),"")</f>
        <v/>
      </c>
    </row>
    <row r="405" spans="1:2" ht="13.9" hidden="1" x14ac:dyDescent="0.4">
      <c r="A405" t="s">
        <v>383</v>
      </c>
      <c r="B405" t="str">
        <f>IF($C$60&gt;=27,IF($C$60=27,I13+$C$37*$C$61,I13),"")</f>
        <v/>
      </c>
    </row>
    <row r="406" spans="1:2" ht="13.9" hidden="1" x14ac:dyDescent="0.4">
      <c r="A406" t="s">
        <v>382</v>
      </c>
      <c r="B406" t="str">
        <f>IF($C$60&gt;=28,IF($C$60=28,I13+$C$37*$C$61,I13),"")</f>
        <v/>
      </c>
    </row>
    <row r="407" spans="1:2" ht="13.9" hidden="1" x14ac:dyDescent="0.4">
      <c r="A407" t="s">
        <v>381</v>
      </c>
      <c r="B407" t="str">
        <f>IF($C$60&gt;=29,IF($C$60=29,I13+$C$37*$C$61,I13),"")</f>
        <v/>
      </c>
    </row>
    <row r="408" spans="1:2" ht="13.9" hidden="1" x14ac:dyDescent="0.4">
      <c r="A408" t="s">
        <v>380</v>
      </c>
      <c r="B408" t="str">
        <f>IF($C$60&gt;=30,IF($C$60=30,I13+$C$37*$C$61,I13),"")</f>
        <v/>
      </c>
    </row>
    <row r="409" spans="1:2" ht="13.9" hidden="1" x14ac:dyDescent="0.4">
      <c r="A409" t="s">
        <v>379</v>
      </c>
      <c r="B409" t="str">
        <f>IF($C$60&gt;=31,IF($C$60=31,I13+$C$37*$C$61,I13),"")</f>
        <v/>
      </c>
    </row>
    <row r="410" spans="1:2" ht="13.9" hidden="1" x14ac:dyDescent="0.4">
      <c r="A410" t="s">
        <v>378</v>
      </c>
      <c r="B410" t="str">
        <f>IF($C$60&gt;=32,IF($C$60=32,I13+$C$37*$C$61,I13),"")</f>
        <v/>
      </c>
    </row>
    <row r="411" spans="1:2" ht="13.9" hidden="1" x14ac:dyDescent="0.4">
      <c r="A411" t="s">
        <v>377</v>
      </c>
      <c r="B411" t="str">
        <f>IF($C$60&gt;=33,IF($C$60=33,I13+$C$37*$C$61,I13),"")</f>
        <v/>
      </c>
    </row>
    <row r="412" spans="1:2" ht="13.9" hidden="1" x14ac:dyDescent="0.4">
      <c r="A412" t="s">
        <v>376</v>
      </c>
      <c r="B412" t="str">
        <f>IF($C$60&gt;=34,IF($C$60=34,I13+$C$37*$C$61,I13),"")</f>
        <v/>
      </c>
    </row>
    <row r="413" spans="1:2" ht="13.9" hidden="1" x14ac:dyDescent="0.4">
      <c r="A413" t="s">
        <v>375</v>
      </c>
      <c r="B413" t="str">
        <f>IF($C$60&gt;=35,IF($C$60=35,I13+$C$37*$C$61,I13),"")</f>
        <v/>
      </c>
    </row>
    <row r="414" spans="1:2" ht="13.9" hidden="1" x14ac:dyDescent="0.4">
      <c r="A414" t="s">
        <v>374</v>
      </c>
      <c r="B414" t="str">
        <f>IF($C$60&gt;=36,IF($C$60=36,I13+$C$37*$C$61,I13),"")</f>
        <v/>
      </c>
    </row>
    <row r="415" spans="1:2" ht="13.9" hidden="1" x14ac:dyDescent="0.4">
      <c r="A415" t="s">
        <v>373</v>
      </c>
      <c r="B415" t="str">
        <f>IF($C$60&gt;=37,IF($C$60=37,I13+$C$37*$C$61,I13),"")</f>
        <v/>
      </c>
    </row>
    <row r="416" spans="1:2" ht="13.9" hidden="1" x14ac:dyDescent="0.4">
      <c r="A416" t="s">
        <v>372</v>
      </c>
      <c r="B416" t="str">
        <f>IF($C$60&gt;=38,IF($C$60=38,I13+$C$37*$C$61,I13),"")</f>
        <v/>
      </c>
    </row>
    <row r="417" spans="1:2" ht="13.9" hidden="1" x14ac:dyDescent="0.4">
      <c r="A417" t="s">
        <v>371</v>
      </c>
      <c r="B417" t="str">
        <f>IF($C$60&gt;=39,IF($C$60=39,I13+$C$37*$C$61,I13),"")</f>
        <v/>
      </c>
    </row>
    <row r="418" spans="1:2" ht="13.9" hidden="1" x14ac:dyDescent="0.4">
      <c r="A418" t="s">
        <v>370</v>
      </c>
      <c r="B418" t="str">
        <f>IF($C$60&gt;=40,IF($C$60=40,I13+$C$37*$C$61,I13),"")</f>
        <v/>
      </c>
    </row>
    <row r="420" spans="1:2" ht="13.9" hidden="1" x14ac:dyDescent="0.4">
      <c r="A420" t="s">
        <v>234</v>
      </c>
    </row>
    <row r="421" spans="1:2" ht="13.9" hidden="1" x14ac:dyDescent="0.4">
      <c r="A421" t="s">
        <v>232</v>
      </c>
      <c r="B421">
        <f>-$C$37</f>
        <v>-651</v>
      </c>
    </row>
    <row r="422" spans="1:2" ht="13.9" hidden="1" x14ac:dyDescent="0.4">
      <c r="A422" t="s">
        <v>231</v>
      </c>
      <c r="B422">
        <f>IF($C$60&gt;=1,IF($C$60=1,J13+$C$37*$C$61,J13),"")</f>
        <v>585.29</v>
      </c>
    </row>
    <row r="423" spans="1:2" ht="13.9" hidden="1" x14ac:dyDescent="0.4">
      <c r="A423" t="s">
        <v>230</v>
      </c>
      <c r="B423">
        <f>IF($C$60&gt;=2,IF($C$60=2,J13+$C$37*$C$61,J13),"")</f>
        <v>585.29</v>
      </c>
    </row>
    <row r="424" spans="1:2" ht="13.9" hidden="1" x14ac:dyDescent="0.4">
      <c r="A424" t="s">
        <v>229</v>
      </c>
      <c r="B424">
        <f>IF($C$60&gt;=3,IF($C$60=3,J13+$C$37*$C$61,J13),"")</f>
        <v>585.29</v>
      </c>
    </row>
    <row r="425" spans="1:2" ht="13.9" hidden="1" x14ac:dyDescent="0.4">
      <c r="A425" t="s">
        <v>228</v>
      </c>
      <c r="B425">
        <f>IF($C$60&gt;=4,IF($C$60=4,J13+$C$37*$C$61,J13),"")</f>
        <v>585.29</v>
      </c>
    </row>
    <row r="426" spans="1:2" ht="13.9" hidden="1" x14ac:dyDescent="0.4">
      <c r="A426" t="s">
        <v>227</v>
      </c>
      <c r="B426">
        <f>IF($C$60&gt;=5,IF($C$60=5,J13+$C$37*$C$61,J13),"")</f>
        <v>585.29</v>
      </c>
    </row>
    <row r="427" spans="1:2" ht="13.9" hidden="1" x14ac:dyDescent="0.4">
      <c r="A427" t="s">
        <v>226</v>
      </c>
      <c r="B427">
        <f>IF($C$60&gt;=6,IF($C$60=6,J13+$C$37*$C$61,J13),"")</f>
        <v>585.29</v>
      </c>
    </row>
    <row r="428" spans="1:2" ht="13.9" hidden="1" x14ac:dyDescent="0.4">
      <c r="A428" t="s">
        <v>225</v>
      </c>
      <c r="B428">
        <f>IF($C$60&gt;=7,IF($C$60=7,J13+$C$37*$C$61,J13),"")</f>
        <v>585.29</v>
      </c>
    </row>
    <row r="429" spans="1:2" ht="13.9" hidden="1" x14ac:dyDescent="0.4">
      <c r="A429" t="s">
        <v>224</v>
      </c>
      <c r="B429">
        <f>IF($C$60&gt;=8,IF($C$60=8,J13+$C$37*$C$61,J13),"")</f>
        <v>585.29</v>
      </c>
    </row>
    <row r="430" spans="1:2" ht="13.9" hidden="1" x14ac:dyDescent="0.4">
      <c r="A430" t="s">
        <v>223</v>
      </c>
      <c r="B430">
        <f>IF($C$60&gt;=9,IF($C$60=9,J13+$C$37*$C$61,J13),"")</f>
        <v>585.29</v>
      </c>
    </row>
    <row r="431" spans="1:2" ht="13.9" hidden="1" x14ac:dyDescent="0.4">
      <c r="A431" t="s">
        <v>222</v>
      </c>
      <c r="B431">
        <f>IF($C$60&gt;=10,IF($C$60=10,J13+$C$37*$C$61,J13),"")</f>
        <v>585.29</v>
      </c>
    </row>
    <row r="432" spans="1:2" ht="13.9" hidden="1" x14ac:dyDescent="0.4">
      <c r="A432" t="s">
        <v>221</v>
      </c>
      <c r="B432">
        <f>IF($C$60&gt;=11,IF($C$60=11,J13+$C$37*$C$61,J13),"")</f>
        <v>585.29</v>
      </c>
    </row>
    <row r="433" spans="1:2" ht="13.9" hidden="1" x14ac:dyDescent="0.4">
      <c r="A433" t="s">
        <v>220</v>
      </c>
      <c r="B433">
        <f>IF($C$60&gt;=12,IF($C$60=12,J13+$C$37*$C$61,J13),"")</f>
        <v>585.29</v>
      </c>
    </row>
    <row r="434" spans="1:2" ht="13.9" hidden="1" x14ac:dyDescent="0.4">
      <c r="A434" t="s">
        <v>219</v>
      </c>
      <c r="B434">
        <f>IF($C$60&gt;=13,IF($C$60=13,J13+$C$37*$C$61,J13),"")</f>
        <v>585.29</v>
      </c>
    </row>
    <row r="435" spans="1:2" ht="13.9" hidden="1" x14ac:dyDescent="0.4">
      <c r="A435" t="s">
        <v>218</v>
      </c>
      <c r="B435">
        <f>IF($C$60&gt;=14,IF($C$60=14,J13+$C$37*$C$61,J13),"")</f>
        <v>585.29</v>
      </c>
    </row>
    <row r="436" spans="1:2" ht="13.9" hidden="1" x14ac:dyDescent="0.4">
      <c r="A436" t="s">
        <v>217</v>
      </c>
      <c r="B436">
        <f>IF($C$60&gt;=15,IF($C$60=15,J13+$C$37*$C$61,J13),"")</f>
        <v>650.39</v>
      </c>
    </row>
    <row r="437" spans="1:2" ht="13.9" hidden="1" x14ac:dyDescent="0.4">
      <c r="A437" t="s">
        <v>394</v>
      </c>
      <c r="B437" t="str">
        <f>IF($C$60&gt;=16,IF($C$60=16,J13+$C$37*$C$61,J13),"")</f>
        <v/>
      </c>
    </row>
    <row r="438" spans="1:2" ht="13.9" hidden="1" x14ac:dyDescent="0.4">
      <c r="A438" t="s">
        <v>393</v>
      </c>
      <c r="B438" t="str">
        <f>IF($C$60&gt;=17,IF($C$60=17,J13+$C$37*$C$61,J13),"")</f>
        <v/>
      </c>
    </row>
    <row r="439" spans="1:2" ht="13.9" hidden="1" x14ac:dyDescent="0.4">
      <c r="A439" t="s">
        <v>392</v>
      </c>
      <c r="B439" t="str">
        <f>IF($C$60&gt;=18,IF($C$60=18,J13+$C$37*$C$61,J13),"")</f>
        <v/>
      </c>
    </row>
    <row r="440" spans="1:2" ht="13.9" hidden="1" x14ac:dyDescent="0.4">
      <c r="A440" t="s">
        <v>391</v>
      </c>
      <c r="B440" t="str">
        <f>IF($C$60&gt;=19,IF($C$60=19,J13+$C$37*$C$61,J13),"")</f>
        <v/>
      </c>
    </row>
    <row r="441" spans="1:2" ht="13.9" hidden="1" x14ac:dyDescent="0.4">
      <c r="A441" t="s">
        <v>390</v>
      </c>
      <c r="B441" t="str">
        <f>IF($C$60&gt;=20,IF($C$60=20,J13+$C$37*$C$61,J13),"")</f>
        <v/>
      </c>
    </row>
    <row r="442" spans="1:2" ht="13.9" hidden="1" x14ac:dyDescent="0.4">
      <c r="A442" t="s">
        <v>389</v>
      </c>
      <c r="B442" t="str">
        <f>IF($C$60&gt;=21,IF($C$60=21,J13+$C$37*$C$61,J13),"")</f>
        <v/>
      </c>
    </row>
    <row r="443" spans="1:2" ht="13.9" hidden="1" x14ac:dyDescent="0.4">
      <c r="A443" t="s">
        <v>388</v>
      </c>
      <c r="B443" t="str">
        <f>IF($C$60&gt;=22,IF($C$60=22,J13+$C$37*$C$61,J13),"")</f>
        <v/>
      </c>
    </row>
    <row r="444" spans="1:2" ht="13.9" hidden="1" x14ac:dyDescent="0.4">
      <c r="A444" t="s">
        <v>387</v>
      </c>
      <c r="B444" t="str">
        <f>IF($C$60&gt;=23,IF($C$60=23,J13+$C$37*$C$61,J13),"")</f>
        <v/>
      </c>
    </row>
    <row r="445" spans="1:2" ht="13.9" hidden="1" x14ac:dyDescent="0.4">
      <c r="A445" t="s">
        <v>386</v>
      </c>
      <c r="B445" t="str">
        <f>IF($C$60&gt;=24,IF($C$60=24,J13+$C$37*$C$61,J13),"")</f>
        <v/>
      </c>
    </row>
    <row r="446" spans="1:2" ht="13.9" hidden="1" x14ac:dyDescent="0.4">
      <c r="A446" t="s">
        <v>385</v>
      </c>
      <c r="B446" t="str">
        <f>IF($C$60&gt;=25,IF($C$60=25,J13+$C$37*$C$61,J13),"")</f>
        <v/>
      </c>
    </row>
    <row r="447" spans="1:2" ht="13.9" hidden="1" x14ac:dyDescent="0.4">
      <c r="A447" t="s">
        <v>384</v>
      </c>
      <c r="B447" t="str">
        <f>IF($C$60&gt;=26,IF($C$60=26,J13+$C$37*$C$61,J13),"")</f>
        <v/>
      </c>
    </row>
    <row r="448" spans="1:2" ht="13.9" hidden="1" x14ac:dyDescent="0.4">
      <c r="A448" t="s">
        <v>383</v>
      </c>
      <c r="B448" t="str">
        <f>IF($C$60&gt;=27,IF($C$60=27,J13+$C$37*$C$61,J13),"")</f>
        <v/>
      </c>
    </row>
    <row r="449" spans="1:2" ht="13.9" hidden="1" x14ac:dyDescent="0.4">
      <c r="A449" t="s">
        <v>382</v>
      </c>
      <c r="B449" t="str">
        <f>IF($C$60&gt;=28,IF($C$60=28,J13+$C$37*$C$61,J13),"")</f>
        <v/>
      </c>
    </row>
    <row r="450" spans="1:2" ht="13.9" hidden="1" x14ac:dyDescent="0.4">
      <c r="A450" t="s">
        <v>381</v>
      </c>
      <c r="B450" t="str">
        <f>IF($C$60&gt;=29,IF($C$60=29,J13+$C$37*$C$61,J13),"")</f>
        <v/>
      </c>
    </row>
    <row r="451" spans="1:2" ht="13.9" hidden="1" x14ac:dyDescent="0.4">
      <c r="A451" t="s">
        <v>380</v>
      </c>
      <c r="B451" t="str">
        <f>IF($C$60&gt;=30,IF($C$60=30,J13+$C$37*$C$61,J13),"")</f>
        <v/>
      </c>
    </row>
    <row r="452" spans="1:2" ht="13.9" hidden="1" x14ac:dyDescent="0.4">
      <c r="A452" t="s">
        <v>379</v>
      </c>
      <c r="B452" t="str">
        <f>IF($C$60&gt;=31,IF($C$60=31,J13+$C$37*$C$61,J13),"")</f>
        <v/>
      </c>
    </row>
    <row r="453" spans="1:2" ht="13.9" hidden="1" x14ac:dyDescent="0.4">
      <c r="A453" t="s">
        <v>378</v>
      </c>
      <c r="B453" t="str">
        <f>IF($C$60&gt;=32,IF($C$60=32,J13+$C$37*$C$61,J13),"")</f>
        <v/>
      </c>
    </row>
    <row r="454" spans="1:2" ht="13.9" hidden="1" x14ac:dyDescent="0.4">
      <c r="A454" t="s">
        <v>377</v>
      </c>
      <c r="B454" t="str">
        <f>IF($C$60&gt;=33,IF($C$60=33,J13+$C$37*$C$61,J13),"")</f>
        <v/>
      </c>
    </row>
    <row r="455" spans="1:2" ht="13.9" hidden="1" x14ac:dyDescent="0.4">
      <c r="A455" t="s">
        <v>376</v>
      </c>
      <c r="B455" t="str">
        <f>IF($C$60&gt;=34,IF($C$60=34,J13+$C$37*$C$61,J13),"")</f>
        <v/>
      </c>
    </row>
    <row r="456" spans="1:2" ht="13.9" hidden="1" x14ac:dyDescent="0.4">
      <c r="A456" t="s">
        <v>375</v>
      </c>
      <c r="B456" t="str">
        <f>IF($C$60&gt;=35,IF($C$60=35,J13+$C$37*$C$61,J13),"")</f>
        <v/>
      </c>
    </row>
    <row r="457" spans="1:2" ht="13.9" hidden="1" x14ac:dyDescent="0.4">
      <c r="A457" t="s">
        <v>374</v>
      </c>
      <c r="B457" t="str">
        <f>IF($C$60&gt;=36,IF($C$60=36,J13+$C$37*$C$61,J13),"")</f>
        <v/>
      </c>
    </row>
    <row r="458" spans="1:2" ht="13.9" hidden="1" x14ac:dyDescent="0.4">
      <c r="A458" t="s">
        <v>373</v>
      </c>
      <c r="B458" t="str">
        <f>IF($C$60&gt;=37,IF($C$60=37,J13+$C$37*$C$61,J13),"")</f>
        <v/>
      </c>
    </row>
    <row r="459" spans="1:2" ht="13.9" hidden="1" x14ac:dyDescent="0.4">
      <c r="A459" t="s">
        <v>372</v>
      </c>
      <c r="B459" t="str">
        <f>IF($C$60&gt;=38,IF($C$60=38,J13+$C$37*$C$61,J13),"")</f>
        <v/>
      </c>
    </row>
    <row r="460" spans="1:2" ht="13.9" hidden="1" x14ac:dyDescent="0.4">
      <c r="A460" t="s">
        <v>371</v>
      </c>
      <c r="B460" t="str">
        <f>IF($C$60&gt;=39,IF($C$60=39,J13+$C$37*$C$61,J13),"")</f>
        <v/>
      </c>
    </row>
    <row r="461" spans="1:2" ht="13.9" hidden="1" x14ac:dyDescent="0.4">
      <c r="A461" t="s">
        <v>370</v>
      </c>
      <c r="B461" t="str">
        <f>IF($C$60&gt;=40,IF($C$60=40,J13+$C$37*$C$61,J13),"")</f>
        <v/>
      </c>
    </row>
    <row r="463" spans="1:2" ht="13.9" hidden="1" x14ac:dyDescent="0.4">
      <c r="A463" t="s">
        <v>233</v>
      </c>
    </row>
    <row r="464" spans="1:2" ht="13.9" hidden="1" x14ac:dyDescent="0.4">
      <c r="A464" t="s">
        <v>232</v>
      </c>
      <c r="B464">
        <f>-$C$37</f>
        <v>-651</v>
      </c>
    </row>
    <row r="465" spans="1:2" ht="13.9" hidden="1" x14ac:dyDescent="0.4">
      <c r="A465" t="s">
        <v>231</v>
      </c>
      <c r="B465">
        <f>IF($C$60&gt;=1,IF($C$60=1,K13+$C$37*$C$61,K13),"")</f>
        <v>585.29</v>
      </c>
    </row>
    <row r="466" spans="1:2" ht="13.9" hidden="1" x14ac:dyDescent="0.4">
      <c r="A466" t="s">
        <v>230</v>
      </c>
      <c r="B466">
        <f>IF($C$60&gt;=2,IF($C$60=2,K13+$C$37*$C$61,K13),"")</f>
        <v>585.29</v>
      </c>
    </row>
    <row r="467" spans="1:2" ht="13.9" hidden="1" x14ac:dyDescent="0.4">
      <c r="A467" t="s">
        <v>229</v>
      </c>
      <c r="B467">
        <f>IF($C$60&gt;=3,IF($C$60=3,K13+$C$37*$C$61,K13),"")</f>
        <v>585.29</v>
      </c>
    </row>
    <row r="468" spans="1:2" ht="13.9" hidden="1" x14ac:dyDescent="0.4">
      <c r="A468" t="s">
        <v>228</v>
      </c>
      <c r="B468">
        <f>IF($C$60&gt;=4,IF($C$60=4,K13+$C$37*$C$61,K13),"")</f>
        <v>585.29</v>
      </c>
    </row>
    <row r="469" spans="1:2" ht="13.9" hidden="1" x14ac:dyDescent="0.4">
      <c r="A469" t="s">
        <v>227</v>
      </c>
      <c r="B469">
        <f>IF($C$60&gt;=5,IF($C$60=5,K13+$C$37*$C$61,K13),"")</f>
        <v>585.29</v>
      </c>
    </row>
    <row r="470" spans="1:2" ht="13.9" hidden="1" x14ac:dyDescent="0.4">
      <c r="A470" t="s">
        <v>226</v>
      </c>
      <c r="B470">
        <f>IF($C$60&gt;=6,IF($C$60=6,K13+$C$37*$C$61,K13),"")</f>
        <v>585.29</v>
      </c>
    </row>
    <row r="471" spans="1:2" ht="13.9" hidden="1" x14ac:dyDescent="0.4">
      <c r="A471" t="s">
        <v>225</v>
      </c>
      <c r="B471">
        <f>IF($C$60&gt;=7,IF($C$60=7,K13+$C$37*$C$61,K13),"")</f>
        <v>585.29</v>
      </c>
    </row>
    <row r="472" spans="1:2" ht="13.9" hidden="1" x14ac:dyDescent="0.4">
      <c r="A472" t="s">
        <v>224</v>
      </c>
      <c r="B472">
        <f>IF($C$60&gt;=8,IF($C$60=8,K13+$C$37*$C$61,K13),"")</f>
        <v>585.29</v>
      </c>
    </row>
    <row r="473" spans="1:2" ht="13.9" hidden="1" x14ac:dyDescent="0.4">
      <c r="A473" t="s">
        <v>223</v>
      </c>
      <c r="B473">
        <f>IF($C$60&gt;=9,IF($C$60=9,K13+$C$37*$C$61,K13),"")</f>
        <v>585.29</v>
      </c>
    </row>
    <row r="474" spans="1:2" ht="13.9" hidden="1" x14ac:dyDescent="0.4">
      <c r="A474" t="s">
        <v>222</v>
      </c>
      <c r="B474">
        <f>IF($C$60&gt;=10,IF($C$60=10,K13+$C$37*$C$61,K13),"")</f>
        <v>585.29</v>
      </c>
    </row>
    <row r="475" spans="1:2" ht="13.9" hidden="1" x14ac:dyDescent="0.4">
      <c r="A475" t="s">
        <v>221</v>
      </c>
      <c r="B475">
        <f>IF($C$60&gt;=11,IF($C$60=11,K13+$C$37*$C$61,K13),"")</f>
        <v>585.29</v>
      </c>
    </row>
    <row r="476" spans="1:2" ht="13.9" hidden="1" x14ac:dyDescent="0.4">
      <c r="A476" t="s">
        <v>220</v>
      </c>
      <c r="B476">
        <f>IF($C$60&gt;=12,IF($C$60=12,K13+$C$37*$C$61,K13),"")</f>
        <v>585.29</v>
      </c>
    </row>
    <row r="477" spans="1:2" ht="13.9" hidden="1" x14ac:dyDescent="0.4">
      <c r="A477" t="s">
        <v>219</v>
      </c>
      <c r="B477">
        <f>IF($C$60&gt;=13,IF($C$60=13,K13+$C$37*$C$61,K13),"")</f>
        <v>585.29</v>
      </c>
    </row>
    <row r="478" spans="1:2" ht="13.9" hidden="1" x14ac:dyDescent="0.4">
      <c r="A478" t="s">
        <v>218</v>
      </c>
      <c r="B478">
        <f>IF($C$60&gt;=14,IF($C$60=14,K13+$C$37*$C$61,K13),"")</f>
        <v>585.29</v>
      </c>
    </row>
    <row r="479" spans="1:2" ht="13.9" hidden="1" x14ac:dyDescent="0.4">
      <c r="A479" t="s">
        <v>217</v>
      </c>
      <c r="B479">
        <f>IF($C$60&gt;=15,IF($C$60=15,K13+$C$37*$C$61,K13),"")</f>
        <v>650.39</v>
      </c>
    </row>
    <row r="480" spans="1:2" ht="13.9" hidden="1" x14ac:dyDescent="0.4">
      <c r="A480" t="s">
        <v>394</v>
      </c>
      <c r="B480" t="str">
        <f>IF($C$60&gt;=16,IF($C$60=16,K13+$C$37*$C$61,K13),"")</f>
        <v/>
      </c>
    </row>
    <row r="481" spans="1:2" ht="13.9" hidden="1" x14ac:dyDescent="0.4">
      <c r="A481" t="s">
        <v>393</v>
      </c>
      <c r="B481" t="str">
        <f>IF($C$60&gt;=17,IF($C$60=17,K13+$C$37*$C$61,K13),"")</f>
        <v/>
      </c>
    </row>
    <row r="482" spans="1:2" ht="13.9" hidden="1" x14ac:dyDescent="0.4">
      <c r="A482" t="s">
        <v>392</v>
      </c>
      <c r="B482" t="str">
        <f>IF($C$60&gt;=18,IF($C$60=18,K13+$C$37*$C$61,K13),"")</f>
        <v/>
      </c>
    </row>
    <row r="483" spans="1:2" ht="13.9" hidden="1" x14ac:dyDescent="0.4">
      <c r="A483" t="s">
        <v>391</v>
      </c>
      <c r="B483" t="str">
        <f>IF($C$60&gt;=19,IF($C$60=19,K13+$C$37*$C$61,K13),"")</f>
        <v/>
      </c>
    </row>
    <row r="484" spans="1:2" ht="13.9" hidden="1" x14ac:dyDescent="0.4">
      <c r="A484" t="s">
        <v>390</v>
      </c>
      <c r="B484" t="str">
        <f>IF($C$60&gt;=20,IF($C$60=20,K13+$C$37*$C$61,K13),"")</f>
        <v/>
      </c>
    </row>
    <row r="485" spans="1:2" ht="13.9" hidden="1" x14ac:dyDescent="0.4">
      <c r="A485" t="s">
        <v>389</v>
      </c>
      <c r="B485" t="str">
        <f>IF($C$60&gt;=21,IF($C$60=21,K13+$C$37*$C$61,K13),"")</f>
        <v/>
      </c>
    </row>
    <row r="486" spans="1:2" ht="13.9" hidden="1" x14ac:dyDescent="0.4">
      <c r="A486" t="s">
        <v>388</v>
      </c>
      <c r="B486" t="str">
        <f>IF($C$60&gt;=22,IF($C$60=22,K13+$C$37*$C$61,K13),"")</f>
        <v/>
      </c>
    </row>
    <row r="487" spans="1:2" ht="13.9" hidden="1" x14ac:dyDescent="0.4">
      <c r="A487" t="s">
        <v>387</v>
      </c>
      <c r="B487" t="str">
        <f>IF($C$60&gt;=23,IF($C$60=23,K13+$C$37*$C$61,K13),"")</f>
        <v/>
      </c>
    </row>
    <row r="488" spans="1:2" ht="13.9" hidden="1" x14ac:dyDescent="0.4">
      <c r="A488" t="s">
        <v>386</v>
      </c>
      <c r="B488" t="str">
        <f>IF($C$60&gt;=24,IF($C$60=24,K13+$C$37*$C$61,K13),"")</f>
        <v/>
      </c>
    </row>
    <row r="489" spans="1:2" ht="13.9" hidden="1" x14ac:dyDescent="0.4">
      <c r="A489" t="s">
        <v>385</v>
      </c>
      <c r="B489" t="str">
        <f>IF($C$60&gt;=25,IF($C$60=25,K13+$C$37*$C$61,K13),"")</f>
        <v/>
      </c>
    </row>
    <row r="490" spans="1:2" ht="13.9" hidden="1" x14ac:dyDescent="0.4">
      <c r="A490" t="s">
        <v>384</v>
      </c>
      <c r="B490" t="str">
        <f>IF($C$60&gt;=26,IF($C$60=26,K13+$C$37*$C$61,K13),"")</f>
        <v/>
      </c>
    </row>
    <row r="491" spans="1:2" ht="13.9" hidden="1" x14ac:dyDescent="0.4">
      <c r="A491" t="s">
        <v>383</v>
      </c>
      <c r="B491" t="str">
        <f>IF($C$60&gt;=27,IF($C$60=27,K13+$C$37*$C$61,K13),"")</f>
        <v/>
      </c>
    </row>
    <row r="492" spans="1:2" ht="13.9" hidden="1" x14ac:dyDescent="0.4">
      <c r="A492" t="s">
        <v>382</v>
      </c>
      <c r="B492" t="str">
        <f>IF($C$60&gt;=28,IF($C$60=28,K13+$C$37*$C$61,K13),"")</f>
        <v/>
      </c>
    </row>
    <row r="493" spans="1:2" ht="13.9" hidden="1" x14ac:dyDescent="0.4">
      <c r="A493" t="s">
        <v>381</v>
      </c>
      <c r="B493" t="str">
        <f>IF($C$60&gt;=29,IF($C$60=29,K13+$C$37*$C$61,K13),"")</f>
        <v/>
      </c>
    </row>
    <row r="494" spans="1:2" ht="13.9" hidden="1" x14ac:dyDescent="0.4">
      <c r="A494" t="s">
        <v>380</v>
      </c>
      <c r="B494" t="str">
        <f>IF($C$60&gt;=30,IF($C$60=30,K13+$C$37*$C$61,K13),"")</f>
        <v/>
      </c>
    </row>
    <row r="495" spans="1:2" ht="13.9" hidden="1" x14ac:dyDescent="0.4">
      <c r="A495" t="s">
        <v>379</v>
      </c>
      <c r="B495" t="str">
        <f>IF($C$60&gt;=31,IF($C$60=31,K13+$C$37*$C$61,K13),"")</f>
        <v/>
      </c>
    </row>
    <row r="496" spans="1:2" ht="13.9" hidden="1" x14ac:dyDescent="0.4">
      <c r="A496" t="s">
        <v>378</v>
      </c>
      <c r="B496" t="str">
        <f>IF($C$60&gt;=32,IF($C$60=32,K13+$C$37*$C$61,K13),"")</f>
        <v/>
      </c>
    </row>
    <row r="497" spans="1:2" ht="13.9" hidden="1" x14ac:dyDescent="0.4">
      <c r="A497" t="s">
        <v>377</v>
      </c>
      <c r="B497" t="str">
        <f>IF($C$60&gt;=33,IF($C$60=33,K13+$C$37*$C$61,K13),"")</f>
        <v/>
      </c>
    </row>
    <row r="498" spans="1:2" ht="13.9" hidden="1" x14ac:dyDescent="0.4">
      <c r="A498" t="s">
        <v>376</v>
      </c>
      <c r="B498" t="str">
        <f>IF($C$60&gt;=34,IF($C$60=34,K13+$C$37*$C$61,K13),"")</f>
        <v/>
      </c>
    </row>
    <row r="499" spans="1:2" ht="13.9" hidden="1" x14ac:dyDescent="0.4">
      <c r="A499" t="s">
        <v>375</v>
      </c>
      <c r="B499" t="str">
        <f>IF($C$60&gt;=35,IF($C$60=35,K13+$C$37*$C$61,K13),"")</f>
        <v/>
      </c>
    </row>
    <row r="500" spans="1:2" ht="13.9" hidden="1" x14ac:dyDescent="0.4">
      <c r="A500" t="s">
        <v>374</v>
      </c>
      <c r="B500" t="str">
        <f>IF($C$60&gt;=36,IF($C$60=36,K13+$C$37*$C$61,K13),"")</f>
        <v/>
      </c>
    </row>
    <row r="501" spans="1:2" ht="13.9" hidden="1" x14ac:dyDescent="0.4">
      <c r="A501" t="s">
        <v>373</v>
      </c>
      <c r="B501" t="str">
        <f>IF($C$60&gt;=37,IF($C$60=37,K13+$C$37*$C$61,K13),"")</f>
        <v/>
      </c>
    </row>
    <row r="502" spans="1:2" ht="13.9" hidden="1" x14ac:dyDescent="0.4">
      <c r="A502" t="s">
        <v>372</v>
      </c>
      <c r="B502" t="str">
        <f>IF($C$60&gt;=38,IF($C$60=38,K13+$C$37*$C$61,K13),"")</f>
        <v/>
      </c>
    </row>
    <row r="503" spans="1:2" ht="13.9" hidden="1" x14ac:dyDescent="0.4">
      <c r="A503" t="s">
        <v>371</v>
      </c>
      <c r="B503" t="str">
        <f>IF($C$60&gt;=39,IF($C$60=39,K13+$C$37*$C$61,K13),"")</f>
        <v/>
      </c>
    </row>
    <row r="504" spans="1:2" ht="13.9" hidden="1" x14ac:dyDescent="0.4">
      <c r="A504" t="s">
        <v>370</v>
      </c>
      <c r="B504" t="str">
        <f>IF($C$60&gt;=40,IF($C$60=40,K13+$C$37*$C$61,K13),"")</f>
        <v/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6274-CA59-4F12-ADAB-BFB85EA5515D}">
  <dimension ref="A1:O50"/>
  <sheetViews>
    <sheetView topLeftCell="G1" workbookViewId="0">
      <pane ySplit="1" topLeftCell="A2" activePane="bottomLeft" state="frozen"/>
      <selection pane="bottomLeft" activeCell="N14" sqref="N14"/>
    </sheetView>
  </sheetViews>
  <sheetFormatPr defaultRowHeight="13.9" x14ac:dyDescent="0.4"/>
  <cols>
    <col min="1" max="1" width="30" customWidth="1"/>
    <col min="2" max="2" width="34" customWidth="1"/>
    <col min="3" max="3" width="18" customWidth="1"/>
    <col min="4" max="4" width="16" customWidth="1"/>
    <col min="7" max="7" width="12" customWidth="1"/>
    <col min="8" max="8" width="26" customWidth="1"/>
    <col min="9" max="9" width="18" customWidth="1"/>
    <col min="10" max="10" width="40" customWidth="1"/>
    <col min="13" max="13" width="30" customWidth="1"/>
    <col min="14" max="14" width="20" customWidth="1"/>
    <col min="15" max="15" width="36" customWidth="1"/>
  </cols>
  <sheetData>
    <row r="1" spans="1:15" x14ac:dyDescent="0.4">
      <c r="A1" s="5" t="s">
        <v>185</v>
      </c>
      <c r="B1" s="5" t="s">
        <v>184</v>
      </c>
      <c r="C1" s="5" t="s">
        <v>183</v>
      </c>
      <c r="D1" s="5" t="s">
        <v>182</v>
      </c>
      <c r="G1" s="5" t="s">
        <v>181</v>
      </c>
      <c r="H1" s="5" t="s">
        <v>180</v>
      </c>
      <c r="I1" s="5" t="s">
        <v>179</v>
      </c>
      <c r="J1" s="5" t="s">
        <v>176</v>
      </c>
      <c r="M1" s="4" t="s">
        <v>178</v>
      </c>
      <c r="N1" s="4" t="s">
        <v>177</v>
      </c>
      <c r="O1" s="4" t="s">
        <v>176</v>
      </c>
    </row>
    <row r="2" spans="1:15" x14ac:dyDescent="0.4">
      <c r="A2" s="1" t="s">
        <v>175</v>
      </c>
      <c r="B2" s="1" t="s">
        <v>174</v>
      </c>
      <c r="C2" s="1">
        <v>17.5</v>
      </c>
      <c r="D2" s="1" t="s">
        <v>173</v>
      </c>
      <c r="G2" s="1" t="s">
        <v>119</v>
      </c>
      <c r="H2" s="1" t="s">
        <v>172</v>
      </c>
      <c r="I2" s="2">
        <f>C7*C8</f>
        <v>0</v>
      </c>
      <c r="J2" s="1"/>
      <c r="M2" s="1" t="s">
        <v>171</v>
      </c>
      <c r="N2" s="3">
        <f>I14</f>
        <v>1025.0250000000001</v>
      </c>
      <c r="O2" s="1"/>
    </row>
    <row r="3" spans="1:15" x14ac:dyDescent="0.4">
      <c r="A3" s="1" t="s">
        <v>170</v>
      </c>
      <c r="B3" s="1" t="s">
        <v>169</v>
      </c>
      <c r="C3" s="1">
        <v>2</v>
      </c>
      <c r="D3" s="1" t="s">
        <v>163</v>
      </c>
      <c r="G3" s="1" t="s">
        <v>119</v>
      </c>
      <c r="H3" s="1" t="s">
        <v>168</v>
      </c>
      <c r="I3" s="2">
        <f>IF(ISBLANK(C9),MAX(200,9*C2*MAX(1,C3+C4)),C9)*C10/10000+C11</f>
        <v>115</v>
      </c>
      <c r="J3" s="1" t="s">
        <v>167</v>
      </c>
      <c r="M3" s="1" t="s">
        <v>166</v>
      </c>
      <c r="N3" s="3">
        <f>I24</f>
        <v>134.6</v>
      </c>
      <c r="O3" s="1"/>
    </row>
    <row r="4" spans="1:15" x14ac:dyDescent="0.4">
      <c r="A4" s="1" t="s">
        <v>165</v>
      </c>
      <c r="B4" s="1" t="s">
        <v>164</v>
      </c>
      <c r="C4" s="1">
        <v>0</v>
      </c>
      <c r="D4" s="1" t="s">
        <v>163</v>
      </c>
      <c r="G4" s="1" t="s">
        <v>119</v>
      </c>
      <c r="H4" s="1" t="s">
        <v>162</v>
      </c>
      <c r="I4" s="2">
        <f>IF(AND(ISBLANK(C12),ISBLANK(C13),ISBLANK(C14),NOT(ISBLANK(C15))),C15*0.5,IF(ISBLANK(C12),20,C12))</f>
        <v>30</v>
      </c>
      <c r="J4" s="1"/>
      <c r="M4" s="1" t="s">
        <v>161</v>
      </c>
      <c r="N4" s="3">
        <f>I17</f>
        <v>134</v>
      </c>
      <c r="O4" s="1"/>
    </row>
    <row r="5" spans="1:15" x14ac:dyDescent="0.4">
      <c r="A5" s="1" t="s">
        <v>160</v>
      </c>
      <c r="B5" s="1" t="s">
        <v>159</v>
      </c>
      <c r="C5" s="1">
        <v>16.5</v>
      </c>
      <c r="D5" s="1" t="s">
        <v>91</v>
      </c>
      <c r="G5" s="1" t="s">
        <v>119</v>
      </c>
      <c r="H5" s="1" t="s">
        <v>158</v>
      </c>
      <c r="I5" s="2">
        <f>IF(AND(ISBLANK(C12),ISBLANK(C13),ISBLANK(C14),NOT(ISBLANK(C15))),C15*0.35,IF(ISBLANK(C13),28,C13))</f>
        <v>35</v>
      </c>
      <c r="J5" s="1" t="s">
        <v>157</v>
      </c>
      <c r="M5" s="1" t="s">
        <v>156</v>
      </c>
      <c r="N5" s="3">
        <f>I28</f>
        <v>35.458750000000002</v>
      </c>
      <c r="O5" s="1"/>
    </row>
    <row r="6" spans="1:15" x14ac:dyDescent="0.4">
      <c r="A6" s="1" t="s">
        <v>155</v>
      </c>
      <c r="B6" s="1" t="s">
        <v>154</v>
      </c>
      <c r="C6" s="1">
        <v>0.11</v>
      </c>
      <c r="D6" s="1" t="s">
        <v>3</v>
      </c>
      <c r="G6" s="1" t="s">
        <v>119</v>
      </c>
      <c r="H6" s="1" t="s">
        <v>153</v>
      </c>
      <c r="I6" s="2">
        <f>IF(AND(ISBLANK(C12),ISBLANK(C13),ISBLANK(C14),NOT(ISBLANK(C15))),C15*0.15,IF(ISBLANK(C14),8,C14))</f>
        <v>12</v>
      </c>
      <c r="J6" s="1"/>
      <c r="M6" s="1" t="s">
        <v>24</v>
      </c>
      <c r="N6" s="3">
        <f>I29</f>
        <v>20</v>
      </c>
      <c r="O6" s="1"/>
    </row>
    <row r="7" spans="1:15" x14ac:dyDescent="0.4">
      <c r="A7" s="1" t="s">
        <v>152</v>
      </c>
      <c r="B7" s="1" t="s">
        <v>151</v>
      </c>
      <c r="C7" s="1">
        <v>1.2</v>
      </c>
      <c r="D7" s="1" t="s">
        <v>150</v>
      </c>
      <c r="G7" s="1" t="s">
        <v>119</v>
      </c>
      <c r="H7" s="1" t="s">
        <v>149</v>
      </c>
      <c r="I7" s="2">
        <f>(C3+C4)*C2*C5</f>
        <v>577.5</v>
      </c>
      <c r="J7" s="1" t="s">
        <v>148</v>
      </c>
      <c r="M7" s="1" t="s">
        <v>53</v>
      </c>
      <c r="N7" s="3">
        <f>I31</f>
        <v>134.90837500000001</v>
      </c>
      <c r="O7" s="1"/>
    </row>
    <row r="8" spans="1:15" x14ac:dyDescent="0.4">
      <c r="A8" s="1" t="s">
        <v>147</v>
      </c>
      <c r="B8" s="1" t="s">
        <v>146</v>
      </c>
      <c r="C8" s="1">
        <v>0</v>
      </c>
      <c r="D8" s="1" t="s">
        <v>145</v>
      </c>
      <c r="G8" s="1" t="s">
        <v>119</v>
      </c>
      <c r="H8" s="1" t="s">
        <v>144</v>
      </c>
      <c r="I8" s="2">
        <f>I7*C6</f>
        <v>63.524999999999999</v>
      </c>
      <c r="J8" s="1" t="s">
        <v>143</v>
      </c>
      <c r="M8" t="s">
        <v>142</v>
      </c>
      <c r="N8" t="s">
        <v>142</v>
      </c>
    </row>
    <row r="9" spans="1:15" x14ac:dyDescent="0.4">
      <c r="A9" s="1" t="s">
        <v>141</v>
      </c>
      <c r="B9" s="1" t="s">
        <v>140</v>
      </c>
      <c r="C9" s="1">
        <v>500</v>
      </c>
      <c r="D9" s="1" t="s">
        <v>139</v>
      </c>
      <c r="G9" s="1" t="s">
        <v>119</v>
      </c>
      <c r="H9" s="1" t="s">
        <v>138</v>
      </c>
      <c r="I9" s="2">
        <f>C16</f>
        <v>45</v>
      </c>
      <c r="J9" s="1"/>
      <c r="M9" s="1" t="s">
        <v>57</v>
      </c>
      <c r="N9" s="3">
        <f>I30</f>
        <v>1349.08375</v>
      </c>
      <c r="O9" s="1"/>
    </row>
    <row r="10" spans="1:15" x14ac:dyDescent="0.4">
      <c r="A10" s="1" t="s">
        <v>137</v>
      </c>
      <c r="B10" s="1" t="s">
        <v>136</v>
      </c>
      <c r="C10" s="1">
        <v>1800</v>
      </c>
      <c r="D10" s="1" t="s">
        <v>135</v>
      </c>
      <c r="G10" s="1" t="s">
        <v>119</v>
      </c>
      <c r="H10" s="1" t="s">
        <v>134</v>
      </c>
      <c r="I10" s="2">
        <f>C18</f>
        <v>30</v>
      </c>
      <c r="J10" s="1"/>
      <c r="M10" s="1" t="s">
        <v>49</v>
      </c>
      <c r="N10" s="3">
        <f>I32</f>
        <v>1483.992125</v>
      </c>
      <c r="O10" s="1"/>
    </row>
    <row r="11" spans="1:15" x14ac:dyDescent="0.4">
      <c r="A11" s="1" t="s">
        <v>133</v>
      </c>
      <c r="B11" s="1" t="s">
        <v>132</v>
      </c>
      <c r="C11" s="1">
        <v>25</v>
      </c>
      <c r="D11" s="1" t="s">
        <v>23</v>
      </c>
      <c r="G11" s="1" t="s">
        <v>119</v>
      </c>
      <c r="H11" s="1" t="s">
        <v>131</v>
      </c>
      <c r="I11" s="2">
        <f>IF(NOT(ISBLANK(C21)),C21*(C3+C4)*C2,IF(ISBLANK(C20),0,C20))</f>
        <v>105</v>
      </c>
      <c r="J11" s="1" t="s">
        <v>130</v>
      </c>
      <c r="M11" s="1" t="s">
        <v>45</v>
      </c>
      <c r="N11" s="3">
        <f>I33</f>
        <v>1676.9111012499998</v>
      </c>
      <c r="O11" s="1"/>
    </row>
    <row r="12" spans="1:15" x14ac:dyDescent="0.4">
      <c r="A12" s="1" t="s">
        <v>129</v>
      </c>
      <c r="B12" s="1" t="s">
        <v>128</v>
      </c>
      <c r="C12" s="1">
        <v>30</v>
      </c>
      <c r="D12" s="1" t="s">
        <v>23</v>
      </c>
      <c r="G12" s="1" t="s">
        <v>119</v>
      </c>
      <c r="H12" s="1" t="s">
        <v>127</v>
      </c>
      <c r="I12" s="2">
        <f>C19</f>
        <v>12</v>
      </c>
      <c r="J12" s="1"/>
      <c r="M12" s="1" t="s">
        <v>126</v>
      </c>
      <c r="N12" s="1"/>
      <c r="O12" s="1"/>
    </row>
    <row r="13" spans="1:15" x14ac:dyDescent="0.4">
      <c r="A13" s="1" t="s">
        <v>125</v>
      </c>
      <c r="B13" s="1" t="s">
        <v>124</v>
      </c>
      <c r="C13" s="1">
        <v>35</v>
      </c>
      <c r="D13" s="1" t="s">
        <v>23</v>
      </c>
      <c r="G13" s="1" t="s">
        <v>119</v>
      </c>
      <c r="H13" s="1" t="s">
        <v>123</v>
      </c>
      <c r="I13" s="2">
        <f>C17</f>
        <v>0</v>
      </c>
      <c r="J13" s="1"/>
      <c r="M13" s="1" t="s">
        <v>122</v>
      </c>
      <c r="N13" s="3">
        <f>IF(I32=0,0,I14/I32*100)</f>
        <v>69.072132037088821</v>
      </c>
      <c r="O13" s="1"/>
    </row>
    <row r="14" spans="1:15" x14ac:dyDescent="0.4">
      <c r="A14" s="1" t="s">
        <v>121</v>
      </c>
      <c r="B14" s="1" t="s">
        <v>120</v>
      </c>
      <c r="C14" s="1">
        <v>12</v>
      </c>
      <c r="D14" s="1" t="s">
        <v>23</v>
      </c>
      <c r="G14" s="1" t="s">
        <v>119</v>
      </c>
      <c r="H14" s="1" t="s">
        <v>63</v>
      </c>
      <c r="I14" s="2">
        <f>SUM(I2:I13)</f>
        <v>1025.0250000000001</v>
      </c>
      <c r="J14" s="1" t="s">
        <v>63</v>
      </c>
      <c r="M14" s="1" t="s">
        <v>118</v>
      </c>
      <c r="N14" s="3">
        <f>IF(I32=0,0,I24/I32*100)</f>
        <v>9.0701289941144392</v>
      </c>
      <c r="O14" s="1"/>
    </row>
    <row r="15" spans="1:15" x14ac:dyDescent="0.4">
      <c r="A15" s="1" t="s">
        <v>117</v>
      </c>
      <c r="B15" s="1" t="s">
        <v>116</v>
      </c>
      <c r="C15" s="1"/>
      <c r="D15" s="1" t="s">
        <v>23</v>
      </c>
      <c r="G15" s="1" t="s">
        <v>107</v>
      </c>
      <c r="H15" s="1" t="s">
        <v>115</v>
      </c>
      <c r="I15" s="2">
        <f>C22*C23/10000</f>
        <v>14</v>
      </c>
      <c r="J15" s="1" t="s">
        <v>114</v>
      </c>
      <c r="M15" s="1" t="s">
        <v>113</v>
      </c>
      <c r="N15" s="3">
        <f>IF(I32=0,0,I17/I32*100)</f>
        <v>9.0296975127142272</v>
      </c>
      <c r="O15" s="1"/>
    </row>
    <row r="16" spans="1:15" x14ac:dyDescent="0.4">
      <c r="A16" s="1" t="s">
        <v>112</v>
      </c>
      <c r="B16" s="1" t="s">
        <v>111</v>
      </c>
      <c r="C16" s="1">
        <v>45</v>
      </c>
      <c r="D16" s="1" t="s">
        <v>23</v>
      </c>
      <c r="G16" s="1" t="s">
        <v>107</v>
      </c>
      <c r="H16" s="1" t="s">
        <v>79</v>
      </c>
      <c r="I16" s="2">
        <f>C24</f>
        <v>120</v>
      </c>
      <c r="J16" s="1"/>
      <c r="M16" s="1" t="s">
        <v>110</v>
      </c>
      <c r="N16" s="3">
        <f>IF(I32=0,0,I28/I32*100)</f>
        <v>2.3894163184996686</v>
      </c>
      <c r="O16" s="1"/>
    </row>
    <row r="17" spans="1:15" x14ac:dyDescent="0.4">
      <c r="A17" s="1" t="s">
        <v>109</v>
      </c>
      <c r="B17" s="1" t="s">
        <v>108</v>
      </c>
      <c r="C17" s="1">
        <v>0</v>
      </c>
      <c r="D17" s="1" t="s">
        <v>23</v>
      </c>
      <c r="G17" s="1" t="s">
        <v>107</v>
      </c>
      <c r="H17" s="1" t="s">
        <v>63</v>
      </c>
      <c r="I17" s="2">
        <f>I15+I16</f>
        <v>134</v>
      </c>
      <c r="J17" s="1" t="s">
        <v>63</v>
      </c>
      <c r="M17" s="1" t="s">
        <v>106</v>
      </c>
      <c r="N17" s="3">
        <f>IF(I32=0,0,I29/I32*100)</f>
        <v>1.3477160466737652</v>
      </c>
      <c r="O17" s="1"/>
    </row>
    <row r="18" spans="1:15" x14ac:dyDescent="0.4">
      <c r="A18" s="1" t="s">
        <v>105</v>
      </c>
      <c r="B18" s="1" t="s">
        <v>104</v>
      </c>
      <c r="C18" s="1">
        <v>30</v>
      </c>
      <c r="D18" s="1" t="s">
        <v>23</v>
      </c>
      <c r="G18" s="1" t="s">
        <v>78</v>
      </c>
      <c r="H18" s="1" t="s">
        <v>103</v>
      </c>
      <c r="I18" s="2">
        <f>IF(C26="combined",C25*C27/10000,C25*(C28+C29)/10000)</f>
        <v>25.2</v>
      </c>
      <c r="J18" s="1" t="s">
        <v>102</v>
      </c>
      <c r="M18" s="1" t="s">
        <v>101</v>
      </c>
      <c r="N18" s="3">
        <f>IF(I32=0,0,I31/I32*100)</f>
        <v>9.0909090909090917</v>
      </c>
      <c r="O18" s="1"/>
    </row>
    <row r="19" spans="1:15" x14ac:dyDescent="0.4">
      <c r="A19" s="1" t="s">
        <v>100</v>
      </c>
      <c r="B19" s="1" t="s">
        <v>99</v>
      </c>
      <c r="C19" s="1">
        <v>12</v>
      </c>
      <c r="D19" s="1" t="s">
        <v>23</v>
      </c>
      <c r="G19" s="1" t="s">
        <v>78</v>
      </c>
      <c r="H19" s="1" t="s">
        <v>98</v>
      </c>
      <c r="I19" s="2">
        <f>C30</f>
        <v>25</v>
      </c>
      <c r="J19" s="1"/>
    </row>
    <row r="20" spans="1:15" x14ac:dyDescent="0.4">
      <c r="A20" s="1" t="s">
        <v>97</v>
      </c>
      <c r="B20" s="1" t="s">
        <v>96</v>
      </c>
      <c r="C20" s="1"/>
      <c r="D20" s="1" t="s">
        <v>23</v>
      </c>
      <c r="G20" s="1" t="s">
        <v>78</v>
      </c>
      <c r="H20" s="1" t="s">
        <v>95</v>
      </c>
      <c r="I20" s="2">
        <f>C31</f>
        <v>10</v>
      </c>
      <c r="J20" s="1" t="s">
        <v>94</v>
      </c>
    </row>
    <row r="21" spans="1:15" x14ac:dyDescent="0.4">
      <c r="A21" s="1" t="s">
        <v>93</v>
      </c>
      <c r="B21" s="1" t="s">
        <v>92</v>
      </c>
      <c r="C21" s="1">
        <v>3</v>
      </c>
      <c r="D21" s="1" t="s">
        <v>91</v>
      </c>
      <c r="G21" s="1" t="s">
        <v>78</v>
      </c>
      <c r="H21" s="1" t="s">
        <v>90</v>
      </c>
      <c r="I21" s="2">
        <f>C32</f>
        <v>25</v>
      </c>
      <c r="J21" s="1" t="s">
        <v>89</v>
      </c>
    </row>
    <row r="22" spans="1:15" x14ac:dyDescent="0.4">
      <c r="A22" s="1" t="s">
        <v>88</v>
      </c>
      <c r="B22" s="1" t="s">
        <v>87</v>
      </c>
      <c r="C22" s="1">
        <v>200</v>
      </c>
      <c r="D22" s="1" t="s">
        <v>41</v>
      </c>
      <c r="G22" s="1" t="s">
        <v>78</v>
      </c>
      <c r="H22" s="1" t="s">
        <v>86</v>
      </c>
      <c r="I22" s="2">
        <f>IF(ISBLANK(C34),C33,C34*C35/10000+C36*C37+C38+C39+C40)</f>
        <v>49.4</v>
      </c>
      <c r="J22" s="1" t="s">
        <v>85</v>
      </c>
    </row>
    <row r="23" spans="1:15" x14ac:dyDescent="0.4">
      <c r="A23" s="1" t="s">
        <v>84</v>
      </c>
      <c r="B23" s="1" t="s">
        <v>83</v>
      </c>
      <c r="C23" s="1">
        <v>700</v>
      </c>
      <c r="D23" s="1" t="s">
        <v>38</v>
      </c>
      <c r="G23" s="1" t="s">
        <v>78</v>
      </c>
      <c r="H23" s="1" t="s">
        <v>395</v>
      </c>
      <c r="I23" s="2">
        <f>C45*C46</f>
        <v>0</v>
      </c>
      <c r="J23" s="1" t="s">
        <v>81</v>
      </c>
    </row>
    <row r="24" spans="1:15" x14ac:dyDescent="0.4">
      <c r="A24" s="1" t="s">
        <v>80</v>
      </c>
      <c r="B24" s="1" t="s">
        <v>79</v>
      </c>
      <c r="C24" s="1">
        <v>120</v>
      </c>
      <c r="D24" s="1" t="s">
        <v>23</v>
      </c>
      <c r="G24" s="1" t="s">
        <v>78</v>
      </c>
      <c r="H24" s="1" t="s">
        <v>63</v>
      </c>
      <c r="I24" s="2">
        <f>SUM(I18:I23)</f>
        <v>134.6</v>
      </c>
      <c r="J24" s="1" t="s">
        <v>63</v>
      </c>
    </row>
    <row r="25" spans="1:15" x14ac:dyDescent="0.4">
      <c r="A25" s="1" t="s">
        <v>77</v>
      </c>
      <c r="B25" s="1" t="s">
        <v>76</v>
      </c>
      <c r="C25" s="1">
        <v>300</v>
      </c>
      <c r="D25" s="1" t="s">
        <v>41</v>
      </c>
      <c r="G25" s="1" t="s">
        <v>64</v>
      </c>
      <c r="H25" s="1" t="s">
        <v>75</v>
      </c>
      <c r="I25" s="2">
        <f>(I14+I24+I17)*C42</f>
        <v>6.4681250000000006</v>
      </c>
      <c r="J25" s="1" t="s">
        <v>74</v>
      </c>
    </row>
    <row r="26" spans="1:15" x14ac:dyDescent="0.4">
      <c r="A26" s="1" t="s">
        <v>73</v>
      </c>
      <c r="B26" s="1" t="s">
        <v>72</v>
      </c>
      <c r="C26" s="1" t="s">
        <v>71</v>
      </c>
      <c r="D26" s="1"/>
      <c r="G26" s="1" t="s">
        <v>64</v>
      </c>
      <c r="H26" s="1" t="s">
        <v>70</v>
      </c>
      <c r="I26" s="2">
        <f>IF(C47,I14,I14-I2)*C43</f>
        <v>25.625625000000003</v>
      </c>
      <c r="J26" s="1"/>
    </row>
    <row r="27" spans="1:15" x14ac:dyDescent="0.4">
      <c r="A27" s="1" t="s">
        <v>69</v>
      </c>
      <c r="B27" s="1" t="s">
        <v>68</v>
      </c>
      <c r="C27" s="1">
        <v>500</v>
      </c>
      <c r="D27" s="1" t="s">
        <v>38</v>
      </c>
      <c r="G27" s="1" t="s">
        <v>64</v>
      </c>
      <c r="H27" s="1" t="s">
        <v>67</v>
      </c>
      <c r="I27" s="2">
        <f>I24*C44</f>
        <v>3.3650000000000002</v>
      </c>
      <c r="J27" s="1"/>
    </row>
    <row r="28" spans="1:15" x14ac:dyDescent="0.4">
      <c r="A28" s="1" t="s">
        <v>66</v>
      </c>
      <c r="B28" s="1" t="s">
        <v>65</v>
      </c>
      <c r="C28" s="1">
        <v>600</v>
      </c>
      <c r="D28" s="1" t="s">
        <v>38</v>
      </c>
      <c r="G28" s="1" t="s">
        <v>64</v>
      </c>
      <c r="H28" s="1" t="s">
        <v>63</v>
      </c>
      <c r="I28" s="2">
        <f>I25+I26+I27</f>
        <v>35.458750000000002</v>
      </c>
      <c r="J28" s="1" t="s">
        <v>63</v>
      </c>
    </row>
    <row r="29" spans="1:15" x14ac:dyDescent="0.4">
      <c r="A29" s="1" t="s">
        <v>62</v>
      </c>
      <c r="B29" s="1" t="s">
        <v>61</v>
      </c>
      <c r="C29" s="1">
        <v>240</v>
      </c>
      <c r="D29" s="1" t="s">
        <v>38</v>
      </c>
      <c r="G29" s="1" t="s">
        <v>60</v>
      </c>
      <c r="H29" s="1" t="s">
        <v>24</v>
      </c>
      <c r="I29" s="2">
        <f>C41</f>
        <v>20</v>
      </c>
      <c r="J29" s="1"/>
    </row>
    <row r="30" spans="1:15" x14ac:dyDescent="0.4">
      <c r="A30" s="1" t="s">
        <v>59</v>
      </c>
      <c r="B30" s="1" t="s">
        <v>58</v>
      </c>
      <c r="C30" s="1">
        <v>25</v>
      </c>
      <c r="D30" s="1" t="s">
        <v>23</v>
      </c>
      <c r="G30" s="1" t="s">
        <v>46</v>
      </c>
      <c r="H30" s="1" t="s">
        <v>57</v>
      </c>
      <c r="I30" s="2">
        <f>I14+I17+I24+I28+I29</f>
        <v>1349.08375</v>
      </c>
      <c r="J30" s="1" t="s">
        <v>56</v>
      </c>
    </row>
    <row r="31" spans="1:15" x14ac:dyDescent="0.4">
      <c r="A31" s="1" t="s">
        <v>55</v>
      </c>
      <c r="B31" s="1" t="s">
        <v>54</v>
      </c>
      <c r="C31" s="1">
        <v>10</v>
      </c>
      <c r="D31" s="1" t="s">
        <v>23</v>
      </c>
      <c r="G31" s="1" t="s">
        <v>46</v>
      </c>
      <c r="H31" s="1" t="s">
        <v>53</v>
      </c>
      <c r="I31" s="2">
        <f>I30*C48</f>
        <v>134.90837500000001</v>
      </c>
      <c r="J31" s="1" t="s">
        <v>52</v>
      </c>
    </row>
    <row r="32" spans="1:15" x14ac:dyDescent="0.4">
      <c r="A32" s="1" t="s">
        <v>51</v>
      </c>
      <c r="B32" s="1" t="s">
        <v>50</v>
      </c>
      <c r="C32" s="1">
        <v>25</v>
      </c>
      <c r="D32" s="1" t="s">
        <v>23</v>
      </c>
      <c r="G32" s="1" t="s">
        <v>46</v>
      </c>
      <c r="H32" s="1" t="s">
        <v>49</v>
      </c>
      <c r="I32" s="2">
        <f>I30+I31</f>
        <v>1483.992125</v>
      </c>
      <c r="J32" s="1"/>
    </row>
    <row r="33" spans="1:10" x14ac:dyDescent="0.4">
      <c r="A33" s="1" t="s">
        <v>48</v>
      </c>
      <c r="B33" s="1" t="s">
        <v>47</v>
      </c>
      <c r="C33" s="1">
        <v>80</v>
      </c>
      <c r="D33" s="1" t="s">
        <v>23</v>
      </c>
      <c r="G33" s="1" t="s">
        <v>46</v>
      </c>
      <c r="H33" s="1" t="s">
        <v>45</v>
      </c>
      <c r="I33" s="2">
        <f>I32*(1+C49)</f>
        <v>1676.9111012499998</v>
      </c>
      <c r="J33" s="1" t="s">
        <v>44</v>
      </c>
    </row>
    <row r="34" spans="1:10" x14ac:dyDescent="0.4">
      <c r="A34" s="1" t="s">
        <v>43</v>
      </c>
      <c r="B34" s="1" t="s">
        <v>42</v>
      </c>
      <c r="C34" s="1">
        <v>300</v>
      </c>
      <c r="D34" s="1" t="s">
        <v>41</v>
      </c>
    </row>
    <row r="35" spans="1:10" x14ac:dyDescent="0.4">
      <c r="A35" s="1" t="s">
        <v>40</v>
      </c>
      <c r="B35" s="1" t="s">
        <v>39</v>
      </c>
      <c r="C35" s="1">
        <v>380</v>
      </c>
      <c r="D35" s="1" t="s">
        <v>38</v>
      </c>
    </row>
    <row r="36" spans="1:10" x14ac:dyDescent="0.4">
      <c r="A36" s="1" t="s">
        <v>37</v>
      </c>
      <c r="B36" s="1" t="s">
        <v>36</v>
      </c>
      <c r="C36" s="1">
        <v>2</v>
      </c>
      <c r="D36" s="1" t="s">
        <v>35</v>
      </c>
    </row>
    <row r="37" spans="1:10" x14ac:dyDescent="0.4">
      <c r="A37" s="1" t="s">
        <v>34</v>
      </c>
      <c r="B37" s="1" t="s">
        <v>33</v>
      </c>
      <c r="C37" s="1">
        <v>8</v>
      </c>
      <c r="D37" s="1" t="s">
        <v>32</v>
      </c>
    </row>
    <row r="38" spans="1:10" x14ac:dyDescent="0.4">
      <c r="A38" s="1" t="s">
        <v>31</v>
      </c>
      <c r="B38" s="1" t="s">
        <v>30</v>
      </c>
      <c r="C38" s="1">
        <v>8</v>
      </c>
      <c r="D38" s="1" t="s">
        <v>23</v>
      </c>
    </row>
    <row r="39" spans="1:10" x14ac:dyDescent="0.4">
      <c r="A39" s="1" t="s">
        <v>29</v>
      </c>
      <c r="B39" s="1" t="s">
        <v>28</v>
      </c>
      <c r="C39" s="1">
        <v>8</v>
      </c>
      <c r="D39" s="1" t="s">
        <v>23</v>
      </c>
    </row>
    <row r="40" spans="1:10" x14ac:dyDescent="0.4">
      <c r="A40" s="1" t="s">
        <v>27</v>
      </c>
      <c r="B40" s="1" t="s">
        <v>26</v>
      </c>
      <c r="C40" s="1">
        <v>6</v>
      </c>
      <c r="D40" s="1" t="s">
        <v>23</v>
      </c>
    </row>
    <row r="41" spans="1:10" x14ac:dyDescent="0.4">
      <c r="A41" s="1" t="s">
        <v>25</v>
      </c>
      <c r="B41" s="1" t="s">
        <v>24</v>
      </c>
      <c r="C41" s="1">
        <v>20</v>
      </c>
      <c r="D41" s="1" t="s">
        <v>23</v>
      </c>
    </row>
    <row r="42" spans="1:10" x14ac:dyDescent="0.4">
      <c r="A42" s="1" t="s">
        <v>22</v>
      </c>
      <c r="B42" s="1" t="s">
        <v>21</v>
      </c>
      <c r="C42" s="1">
        <v>5.0000000000000001E-3</v>
      </c>
      <c r="D42" s="1" t="s">
        <v>3</v>
      </c>
    </row>
    <row r="43" spans="1:10" x14ac:dyDescent="0.4">
      <c r="A43" s="1" t="s">
        <v>20</v>
      </c>
      <c r="B43" s="1" t="s">
        <v>19</v>
      </c>
      <c r="C43" s="1">
        <v>2.5000000000000001E-2</v>
      </c>
      <c r="D43" s="1" t="s">
        <v>3</v>
      </c>
    </row>
    <row r="44" spans="1:10" x14ac:dyDescent="0.4">
      <c r="A44" s="1" t="s">
        <v>18</v>
      </c>
      <c r="B44" s="1" t="s">
        <v>17</v>
      </c>
      <c r="C44" s="1">
        <v>2.5000000000000001E-2</v>
      </c>
      <c r="D44" s="1" t="s">
        <v>3</v>
      </c>
    </row>
    <row r="45" spans="1:10" x14ac:dyDescent="0.4">
      <c r="A45" s="1" t="s">
        <v>16</v>
      </c>
      <c r="B45" s="1" t="s">
        <v>15</v>
      </c>
      <c r="C45" s="1">
        <v>0</v>
      </c>
      <c r="D45" s="1" t="s">
        <v>14</v>
      </c>
    </row>
    <row r="46" spans="1:10" x14ac:dyDescent="0.4">
      <c r="A46" s="1" t="s">
        <v>13</v>
      </c>
      <c r="B46" s="1" t="s">
        <v>12</v>
      </c>
      <c r="C46" s="1">
        <v>50</v>
      </c>
      <c r="D46" s="1" t="s">
        <v>11</v>
      </c>
    </row>
    <row r="47" spans="1:10" x14ac:dyDescent="0.4">
      <c r="A47" s="1" t="s">
        <v>10</v>
      </c>
      <c r="B47" s="1" t="s">
        <v>9</v>
      </c>
      <c r="C47" s="1" t="b">
        <v>0</v>
      </c>
      <c r="D47" s="1" t="s">
        <v>8</v>
      </c>
    </row>
    <row r="48" spans="1:10" x14ac:dyDescent="0.4">
      <c r="A48" s="1" t="s">
        <v>7</v>
      </c>
      <c r="B48" s="1" t="s">
        <v>6</v>
      </c>
      <c r="C48" s="1">
        <v>0.1</v>
      </c>
      <c r="D48" s="1" t="s">
        <v>3</v>
      </c>
    </row>
    <row r="49" spans="1:4" x14ac:dyDescent="0.4">
      <c r="A49" s="1" t="s">
        <v>5</v>
      </c>
      <c r="B49" s="1" t="s">
        <v>4</v>
      </c>
      <c r="C49" s="1">
        <v>0.13</v>
      </c>
      <c r="D49" s="1" t="s">
        <v>3</v>
      </c>
    </row>
    <row r="50" spans="1:4" x14ac:dyDescent="0.4">
      <c r="A50" s="1" t="s">
        <v>2</v>
      </c>
      <c r="B50" s="1" t="s">
        <v>1</v>
      </c>
      <c r="C50" s="1">
        <v>2</v>
      </c>
      <c r="D50" s="1" t="s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D256-11AE-40A0-928A-CB15256DEEFB}">
  <dimension ref="A1:K504"/>
  <sheetViews>
    <sheetView tabSelected="1" workbookViewId="0">
      <selection activeCell="B15" sqref="B15"/>
    </sheetView>
  </sheetViews>
  <sheetFormatPr defaultRowHeight="13.5" x14ac:dyDescent="0.4"/>
  <cols>
    <col min="1" max="1" width="38" bestFit="1" customWidth="1"/>
    <col min="2" max="2" width="30" customWidth="1"/>
    <col min="3" max="4" width="18" customWidth="1"/>
    <col min="5" max="11" width="22" customWidth="1"/>
  </cols>
  <sheetData>
    <row r="1" spans="1:11" ht="27" x14ac:dyDescent="0.4">
      <c r="A1" s="8" t="s">
        <v>207</v>
      </c>
      <c r="B1" s="8" t="s">
        <v>216</v>
      </c>
      <c r="C1" s="8" t="s">
        <v>215</v>
      </c>
      <c r="D1" s="8" t="s">
        <v>214</v>
      </c>
      <c r="E1" s="8" t="s">
        <v>213</v>
      </c>
      <c r="F1" s="8" t="s">
        <v>212</v>
      </c>
      <c r="G1" s="8" t="s">
        <v>211</v>
      </c>
      <c r="H1" s="8" t="s">
        <v>210</v>
      </c>
      <c r="I1" s="8" t="s">
        <v>369</v>
      </c>
      <c r="J1" s="8" t="s">
        <v>209</v>
      </c>
      <c r="K1" s="8" t="s">
        <v>208</v>
      </c>
    </row>
    <row r="2" spans="1:11" ht="13.9" x14ac:dyDescent="0.4">
      <c r="A2" s="11" t="s">
        <v>196</v>
      </c>
      <c r="B2" s="6">
        <f>ROUND($C$37,2)</f>
        <v>1484</v>
      </c>
      <c r="C2" s="6">
        <f>ROUND($C$37,2)</f>
        <v>1484</v>
      </c>
      <c r="D2" s="6">
        <f>ROUND($C$37,2)</f>
        <v>1484</v>
      </c>
      <c r="E2" s="6">
        <f>ROUND($C$37,2)</f>
        <v>1484</v>
      </c>
      <c r="F2" s="6">
        <f>ROUND($C$37,2)</f>
        <v>1484</v>
      </c>
      <c r="G2" s="6">
        <f>ROUND($C$37,2)</f>
        <v>1484</v>
      </c>
      <c r="H2" s="6">
        <f>ROUND($C$37,2)</f>
        <v>1484</v>
      </c>
      <c r="I2" s="12">
        <f>ROUND($C$37,2)</f>
        <v>1484</v>
      </c>
      <c r="J2" s="6">
        <f>ROUND($C$37,2)</f>
        <v>1484</v>
      </c>
      <c r="K2" s="6">
        <f>ROUND($C$37,2)</f>
        <v>1484</v>
      </c>
    </row>
    <row r="3" spans="1:11" ht="13.9" x14ac:dyDescent="0.4">
      <c r="A3" s="11" t="s">
        <v>195</v>
      </c>
      <c r="B3" s="6">
        <f>ROUND(B21*$C$27/10000,2)</f>
        <v>1044</v>
      </c>
      <c r="C3" s="6">
        <f>ROUND(C21*$C$27/10000,2)</f>
        <v>1250.22</v>
      </c>
      <c r="D3" s="6">
        <f>ROUND(D21*$C$27/10000,2)</f>
        <v>1456.44</v>
      </c>
      <c r="E3" s="6">
        <f>ROUND(E21*$C$27/10000,2)</f>
        <v>1662.66</v>
      </c>
      <c r="F3" s="6">
        <f>ROUND(F21*$C$27/10000,2)</f>
        <v>1868.88</v>
      </c>
      <c r="G3" s="6">
        <f>ROUND(G21*$C$27/10000,2)</f>
        <v>2075.1</v>
      </c>
      <c r="H3" s="6">
        <f>ROUND(H21*$C$27/10000,2)</f>
        <v>2281.31</v>
      </c>
      <c r="I3" s="12">
        <f>ROUND(I21*$C$27/10000,2)</f>
        <v>2487.5300000000002</v>
      </c>
      <c r="J3" s="6">
        <f>ROUND(J21*$C$27/10000,2)</f>
        <v>2693.75</v>
      </c>
      <c r="K3" s="6">
        <f>ROUND(K21*$C$27/10000,2)</f>
        <v>2900</v>
      </c>
    </row>
    <row r="4" spans="1:11" ht="13.9" x14ac:dyDescent="0.4">
      <c r="A4" s="11" t="s">
        <v>194</v>
      </c>
      <c r="B4" s="6">
        <f>ROUND(IF($C$38,((IF($C$32="customer", MIN($C$64, ($C$25*24*$C$26*365)*(1-$C$31))/(1-$C$31), MIN($C$64, ($C$25*24*$C$26*365)))*$C$39)*(($C$52*MAX(0,$C$40-$C$41))/($C$49*$C$50)*$C$29+($C$46+$C$47+$C$48))+MAX(0,$C$42-$C$43)*IF($C$32="customer", MIN($C$64, ($C$25*24*$C$26*365)*(1-$C$31))/(1-$C$31), MIN($C$64, ($C$25*24*$C$26*365)))*(($C$52*MAX(0,$C$40-$C$41))/($C$49*$C$50)*$C$29+($C$46+$C$47+$C$48))+IF($C$44="",0,(IF($C$32="customer", MIN($C$64, ($C$25*24*$C$26*365)*(1-$C$31))/(1-$C$31), MIN($C$64, ($C$25*24*$C$26*365)))*$C$39)*($C$51*$C$54*($C$53/($C$49*$C$50))*$C$29)))/10000,0),2)</f>
        <v>138.55000000000001</v>
      </c>
      <c r="C4" s="6">
        <f>ROUND(IF($C$38,((IF($C$32="customer", MIN($C$65, ($C$25*24*$C$26*365)*(1-$C$31))/(1-$C$31), MIN($C$65, ($C$25*24*$C$26*365)))*$C$39)*(($C$52*MAX(0,$C$40-$C$41))/($C$49*$C$50)*$C$29+($C$46+$C$47+$C$48))+MAX(0,$C$42-$C$43)*IF($C$32="customer", MIN($C$65, ($C$25*24*$C$26*365)*(1-$C$31))/(1-$C$31), MIN($C$65, ($C$25*24*$C$26*365)))*(($C$52*MAX(0,$C$40-$C$41))/($C$49*$C$50)*$C$29+($C$46+$C$47+$C$48))+IF($C$44="",0,(IF($C$32="customer", MIN($C$65, ($C$25*24*$C$26*365)*(1-$C$31))/(1-$C$31), MIN($C$65, ($C$25*24*$C$26*365)))*$C$39)*($C$51*$C$54*($C$53/($C$49*$C$50))*$C$29)))/10000,0),2)</f>
        <v>165.92</v>
      </c>
      <c r="D4" s="6">
        <f>ROUND(IF($C$38,((IF($C$32="customer", MIN($C$66, ($C$25*24*$C$26*365)*(1-$C$31))/(1-$C$31), MIN($C$66, ($C$25*24*$C$26*365)))*$C$39)*(($C$52*MAX(0,$C$40-$C$41))/($C$49*$C$50)*$C$29+($C$46+$C$47+$C$48))+MAX(0,$C$42-$C$43)*IF($C$32="customer", MIN($C$66, ($C$25*24*$C$26*365)*(1-$C$31))/(1-$C$31), MIN($C$66, ($C$25*24*$C$26*365)))*(($C$52*MAX(0,$C$40-$C$41))/($C$49*$C$50)*$C$29+($C$46+$C$47+$C$48))+IF($C$44="",0,(IF($C$32="customer", MIN($C$66, ($C$25*24*$C$26*365)*(1-$C$31))/(1-$C$31), MIN($C$66, ($C$25*24*$C$26*365)))*$C$39)*($C$51*$C$54*($C$53/($C$49*$C$50))*$C$29)))/10000,0),2)</f>
        <v>193.29</v>
      </c>
      <c r="E4" s="6">
        <f>ROUND(IF($C$38,((IF($C$32="customer", MIN($C$67, ($C$25*24*$C$26*365)*(1-$C$31))/(1-$C$31), MIN($C$67, ($C$25*24*$C$26*365)))*$C$39)*(($C$52*MAX(0,$C$40-$C$41))/($C$49*$C$50)*$C$29+($C$46+$C$47+$C$48))+MAX(0,$C$42-$C$43)*IF($C$32="customer", MIN($C$67, ($C$25*24*$C$26*365)*(1-$C$31))/(1-$C$31), MIN($C$67, ($C$25*24*$C$26*365)))*(($C$52*MAX(0,$C$40-$C$41))/($C$49*$C$50)*$C$29+($C$46+$C$47+$C$48))+IF($C$44="",0,(IF($C$32="customer", MIN($C$67, ($C$25*24*$C$26*365)*(1-$C$31))/(1-$C$31), MIN($C$67, ($C$25*24*$C$26*365)))*$C$39)*($C$51*$C$54*($C$53/($C$49*$C$50))*$C$29)))/10000,0),2)</f>
        <v>220.66</v>
      </c>
      <c r="F4" s="6">
        <f>ROUND(IF($C$38,((IF($C$32="customer", MIN($C$68, ($C$25*24*$C$26*365)*(1-$C$31))/(1-$C$31), MIN($C$68, ($C$25*24*$C$26*365)))*$C$39)*(($C$52*MAX(0,$C$40-$C$41))/($C$49*$C$50)*$C$29+($C$46+$C$47+$C$48))+MAX(0,$C$42-$C$43)*IF($C$32="customer", MIN($C$68, ($C$25*24*$C$26*365)*(1-$C$31))/(1-$C$31), MIN($C$68, ($C$25*24*$C$26*365)))*(($C$52*MAX(0,$C$40-$C$41))/($C$49*$C$50)*$C$29+($C$46+$C$47+$C$48))+IF($C$44="",0,(IF($C$32="customer", MIN($C$68, ($C$25*24*$C$26*365)*(1-$C$31))/(1-$C$31), MIN($C$68, ($C$25*24*$C$26*365)))*$C$39)*($C$51*$C$54*($C$53/($C$49*$C$50))*$C$29)))/10000,0),2)</f>
        <v>248.03</v>
      </c>
      <c r="G4" s="6">
        <f>ROUND(IF($C$38,((IF($C$32="customer", MIN($C$69, ($C$25*24*$C$26*365)*(1-$C$31))/(1-$C$31), MIN($C$69, ($C$25*24*$C$26*365)))*$C$39)*(($C$52*MAX(0,$C$40-$C$41))/($C$49*$C$50)*$C$29+($C$46+$C$47+$C$48))+MAX(0,$C$42-$C$43)*IF($C$32="customer", MIN($C$69, ($C$25*24*$C$26*365)*(1-$C$31))/(1-$C$31), MIN($C$69, ($C$25*24*$C$26*365)))*(($C$52*MAX(0,$C$40-$C$41))/($C$49*$C$50)*$C$29+($C$46+$C$47+$C$48))+IF($C$44="",0,(IF($C$32="customer", MIN($C$69, ($C$25*24*$C$26*365)*(1-$C$31))/(1-$C$31), MIN($C$69, ($C$25*24*$C$26*365)))*$C$39)*($C$51*$C$54*($C$53/($C$49*$C$50))*$C$29)))/10000,0),2)</f>
        <v>275.39</v>
      </c>
      <c r="H4" s="6">
        <f>ROUND(IF($C$38,((IF($C$32="customer", MIN($C$70, ($C$25*24*$C$26*365)*(1-$C$31))/(1-$C$31), MIN($C$70, ($C$25*24*$C$26*365)))*$C$39)*(($C$52*MAX(0,$C$40-$C$41))/($C$49*$C$50)*$C$29+($C$46+$C$47+$C$48))+MAX(0,$C$42-$C$43)*IF($C$32="customer", MIN($C$70, ($C$25*24*$C$26*365)*(1-$C$31))/(1-$C$31), MIN($C$70, ($C$25*24*$C$26*365)))*(($C$52*MAX(0,$C$40-$C$41))/($C$49*$C$50)*$C$29+($C$46+$C$47+$C$48))+IF($C$44="",0,(IF($C$32="customer", MIN($C$70, ($C$25*24*$C$26*365)*(1-$C$31))/(1-$C$31), MIN($C$70, ($C$25*24*$C$26*365)))*$C$39)*($C$51*$C$54*($C$53/($C$49*$C$50))*$C$29)))/10000,0),2)</f>
        <v>302.76</v>
      </c>
      <c r="I4" s="12">
        <f>ROUND(IF($C$38,((IF($C$32="customer", MIN($C$71, ($C$25*24*$C$26*365)*(1-$C$31))/(1-$C$31), MIN($C$71, ($C$25*24*$C$26*365)))*$C$39)*(($C$52*MAX(0,$C$40-$C$41))/($C$49*$C$50)*$C$29+($C$46+$C$47+$C$48))+MAX(0,$C$42-$C$43)*IF($C$32="customer", MIN($C$71, ($C$25*24*$C$26*365)*(1-$C$31))/(1-$C$31), MIN($C$71, ($C$25*24*$C$26*365)))*(($C$52*MAX(0,$C$40-$C$41))/($C$49*$C$50)*$C$29+($C$46+$C$47+$C$48))+IF($C$44="",0,(IF($C$32="customer", MIN($C$71, ($C$25*24*$C$26*365)*(1-$C$31))/(1-$C$31), MIN($C$71, ($C$25*24*$C$26*365)))*$C$39)*($C$51*$C$54*($C$53/($C$49*$C$50))*$C$29)))/10000,0),2)</f>
        <v>330.13</v>
      </c>
      <c r="J4" s="6">
        <f>ROUND(IF($C$38,((IF($C$32="customer", MIN($C$72, ($C$25*24*$C$26*365)*(1-$C$31))/(1-$C$31), MIN($C$72, ($C$25*24*$C$26*365)))*$C$39)*(($C$52*MAX(0,$C$40-$C$41))/($C$49*$C$50)*$C$29+($C$46+$C$47+$C$48))+MAX(0,$C$42-$C$43)*IF($C$32="customer", MIN($C$72, ($C$25*24*$C$26*365)*(1-$C$31))/(1-$C$31), MIN($C$72, ($C$25*24*$C$26*365)))*(($C$52*MAX(0,$C$40-$C$41))/($C$49*$C$50)*$C$29+($C$46+$C$47+$C$48))+IF($C$44="",0,(IF($C$32="customer", MIN($C$72, ($C$25*24*$C$26*365)*(1-$C$31))/(1-$C$31), MIN($C$72, ($C$25*24*$C$26*365)))*$C$39)*($C$51*$C$54*($C$53/($C$49*$C$50))*$C$29)))/10000,0),2)</f>
        <v>357.5</v>
      </c>
      <c r="K4" s="6">
        <f>ROUND(IF($C$38,((IF($C$32="customer", MIN($C$73, ($C$25*24*$C$26*365)*(1-$C$31))/(1-$C$31), MIN($C$73, ($C$25*24*$C$26*365)))*$C$39)*(($C$52*MAX(0,$C$40-$C$41))/($C$49*$C$50)*$C$29+($C$46+$C$47+$C$48))+MAX(0,$C$42-$C$43)*IF($C$32="customer", MIN($C$73, ($C$25*24*$C$26*365)*(1-$C$31))/(1-$C$31), MIN($C$73, ($C$25*24*$C$26*365)))*(($C$52*MAX(0,$C$40-$C$41))/($C$49*$C$50)*$C$29+($C$46+$C$47+$C$48))+IF($C$44="",0,(IF($C$32="customer", MIN($C$73, ($C$25*24*$C$26*365)*(1-$C$31))/(1-$C$31), MIN($C$73, ($C$25*24*$C$26*365)))*$C$39)*($C$51*$C$54*($C$53/($C$49*$C$50))*$C$29)))/10000,0),2)</f>
        <v>384.87</v>
      </c>
    </row>
    <row r="5" spans="1:11" ht="13.9" x14ac:dyDescent="0.4">
      <c r="A5" s="11" t="s">
        <v>193</v>
      </c>
      <c r="B5" s="6">
        <f>ROUND(IF($C$55, B21*IF($C$59="step", MIN(INT(MAX(0,$C$39-$C$58)*10)*$C$56, $C$57), MIN((MAX(0,$C$39-$C$58)/0.1)*$C$56, $C$57))/10000, 0),2)</f>
        <v>0</v>
      </c>
      <c r="C5" s="6">
        <f>ROUND(IF($C$55, C21*IF($C$59="step", MIN(INT(MAX(0,$C$39-$C$58)*10)*$C$56, $C$57), MIN((MAX(0,$C$39-$C$58)/0.1)*$C$56, $C$57))/10000, 0),2)</f>
        <v>0</v>
      </c>
      <c r="D5" s="6">
        <f>ROUND(IF($C$55, D21*IF($C$59="step", MIN(INT(MAX(0,$C$39-$C$58)*10)*$C$56, $C$57), MIN((MAX(0,$C$39-$C$58)/0.1)*$C$56, $C$57))/10000, 0),2)</f>
        <v>0</v>
      </c>
      <c r="E5" s="6">
        <f>ROUND(IF($C$55, E21*IF($C$59="step", MIN(INT(MAX(0,$C$39-$C$58)*10)*$C$56, $C$57), MIN((MAX(0,$C$39-$C$58)/0.1)*$C$56, $C$57))/10000, 0),2)</f>
        <v>0</v>
      </c>
      <c r="F5" s="6">
        <f>ROUND(IF($C$55, F21*IF($C$59="step", MIN(INT(MAX(0,$C$39-$C$58)*10)*$C$56, $C$57), MIN((MAX(0,$C$39-$C$58)/0.1)*$C$56, $C$57))/10000, 0),2)</f>
        <v>0</v>
      </c>
      <c r="G5" s="6">
        <f>ROUND(IF($C$55, G21*IF($C$59="step", MIN(INT(MAX(0,$C$39-$C$58)*10)*$C$56, $C$57), MIN((MAX(0,$C$39-$C$58)/0.1)*$C$56, $C$57))/10000, 0),2)</f>
        <v>0</v>
      </c>
      <c r="H5" s="6">
        <f>ROUND(IF($C$55, H21*IF($C$59="step", MIN(INT(MAX(0,$C$39-$C$58)*10)*$C$56, $C$57), MIN((MAX(0,$C$39-$C$58)/0.1)*$C$56, $C$57))/10000, 0),2)</f>
        <v>0</v>
      </c>
      <c r="I5" s="12">
        <f>ROUND(IF($C$55, I21*IF($C$59="step", MIN(INT(MAX(0,$C$39-$C$58)*10)*$C$56, $C$57), MIN((MAX(0,$C$39-$C$58)/0.1)*$C$56, $C$57))/10000, 0),2)</f>
        <v>0</v>
      </c>
      <c r="J5" s="6">
        <f>ROUND(IF($C$55, J21*IF($C$59="step", MIN(INT(MAX(0,$C$39-$C$58)*10)*$C$56, $C$57), MIN((MAX(0,$C$39-$C$58)/0.1)*$C$56, $C$57))/10000, 0),2)</f>
        <v>0</v>
      </c>
      <c r="K5" s="6">
        <f>ROUND(IF($C$55, K21*IF($C$59="step", MIN(INT(MAX(0,$C$39-$C$58)*10)*$C$56, $C$57), MIN((MAX(0,$C$39-$C$58)/0.1)*$C$56, $C$57))/10000, 0),2)</f>
        <v>0</v>
      </c>
    </row>
    <row r="6" spans="1:11" ht="13.9" x14ac:dyDescent="0.4">
      <c r="A6" s="11" t="s">
        <v>192</v>
      </c>
      <c r="B6" s="6">
        <f>ROUND(B20*($C$29*$C$30)/10000,2)</f>
        <v>829.48</v>
      </c>
      <c r="C6" s="6">
        <f>ROUND(C20*($C$29*$C$30)/10000,2)</f>
        <v>993.33</v>
      </c>
      <c r="D6" s="6">
        <f>ROUND(D20*($C$29*$C$30)/10000,2)</f>
        <v>1157.18</v>
      </c>
      <c r="E6" s="6">
        <f>ROUND(E20*($C$29*$C$30)/10000,2)</f>
        <v>1321.02</v>
      </c>
      <c r="F6" s="6">
        <f>ROUND(F20*($C$29*$C$30)/10000,2)</f>
        <v>1484.87</v>
      </c>
      <c r="G6" s="6">
        <f>ROUND(G20*($C$29*$C$30)/10000,2)</f>
        <v>1648.72</v>
      </c>
      <c r="H6" s="6">
        <f>ROUND(H20*($C$29*$C$30)/10000,2)</f>
        <v>1812.56</v>
      </c>
      <c r="I6" s="12">
        <f>ROUND(I20*($C$29*$C$30)/10000,2)</f>
        <v>1976.41</v>
      </c>
      <c r="J6" s="6">
        <f>ROUND(J20*($C$29*$C$30)/10000,2)</f>
        <v>2140.25</v>
      </c>
      <c r="K6" s="6">
        <f>ROUND(K20*($C$29*$C$30)/10000,2)</f>
        <v>2304.12</v>
      </c>
    </row>
    <row r="7" spans="1:11" ht="13.9" x14ac:dyDescent="0.4">
      <c r="A7" s="11" t="s">
        <v>191</v>
      </c>
      <c r="B7" s="6">
        <f>ROUND(B20*$C$28/10000,2)</f>
        <v>15.22</v>
      </c>
      <c r="C7" s="6">
        <f>ROUND(C20*$C$28/10000,2)</f>
        <v>18.22</v>
      </c>
      <c r="D7" s="6">
        <f>ROUND(D20*$C$28/10000,2)</f>
        <v>21.23</v>
      </c>
      <c r="E7" s="6">
        <f>ROUND(E20*$C$28/10000,2)</f>
        <v>24.23</v>
      </c>
      <c r="F7" s="6">
        <f>ROUND(F20*$C$28/10000,2)</f>
        <v>27.24</v>
      </c>
      <c r="G7" s="6">
        <f>ROUND(G20*$C$28/10000,2)</f>
        <v>30.24</v>
      </c>
      <c r="H7" s="6">
        <f>ROUND(H20*$C$28/10000,2)</f>
        <v>33.25</v>
      </c>
      <c r="I7" s="12">
        <f>ROUND(I20*$C$28/10000,2)</f>
        <v>36.26</v>
      </c>
      <c r="J7" s="6">
        <f>ROUND(J20*$C$28/10000,2)</f>
        <v>39.26</v>
      </c>
      <c r="K7" s="6">
        <f>ROUND(K20*$C$28/10000,2)</f>
        <v>42.27</v>
      </c>
    </row>
    <row r="8" spans="1:11" ht="13.9" x14ac:dyDescent="0.4">
      <c r="A8" s="11" t="s">
        <v>190</v>
      </c>
      <c r="B8" s="6">
        <f>ROUND($C$35*$C$34/10000,2)</f>
        <v>36</v>
      </c>
      <c r="C8" s="6">
        <f>ROUND($C$35*$C$34/10000,2)</f>
        <v>36</v>
      </c>
      <c r="D8" s="6">
        <f>ROUND($C$35*$C$34/10000,2)</f>
        <v>36</v>
      </c>
      <c r="E8" s="6">
        <f>ROUND($C$35*$C$34/10000,2)</f>
        <v>36</v>
      </c>
      <c r="F8" s="6">
        <f>ROUND($C$35*$C$34/10000,2)</f>
        <v>36</v>
      </c>
      <c r="G8" s="6">
        <f>ROUND($C$35*$C$34/10000,2)</f>
        <v>36</v>
      </c>
      <c r="H8" s="6">
        <f>ROUND($C$35*$C$34/10000,2)</f>
        <v>36</v>
      </c>
      <c r="I8" s="12">
        <f>ROUND($C$35*$C$34/10000,2)</f>
        <v>36</v>
      </c>
      <c r="J8" s="6">
        <f>ROUND($C$35*$C$34/10000,2)</f>
        <v>36</v>
      </c>
      <c r="K8" s="6">
        <f>ROUND($C$35*$C$34/10000,2)</f>
        <v>36</v>
      </c>
    </row>
    <row r="9" spans="1:11" ht="13.9" x14ac:dyDescent="0.4">
      <c r="A9" s="11" t="s">
        <v>189</v>
      </c>
      <c r="B9" s="6">
        <f>ROUND($C$37*$C$33,2)</f>
        <v>103.88</v>
      </c>
      <c r="C9" s="6">
        <f>ROUND($C$37*$C$33,2)</f>
        <v>103.88</v>
      </c>
      <c r="D9" s="6">
        <f>ROUND($C$37*$C$33,2)</f>
        <v>103.88</v>
      </c>
      <c r="E9" s="6">
        <f>ROUND($C$37*$C$33,2)</f>
        <v>103.88</v>
      </c>
      <c r="F9" s="6">
        <f>ROUND($C$37*$C$33,2)</f>
        <v>103.88</v>
      </c>
      <c r="G9" s="6">
        <f>ROUND($C$37*$C$33,2)</f>
        <v>103.88</v>
      </c>
      <c r="H9" s="6">
        <f>ROUND($C$37*$C$33,2)</f>
        <v>103.88</v>
      </c>
      <c r="I9" s="12">
        <f>ROUND($C$37*$C$33,2)</f>
        <v>103.88</v>
      </c>
      <c r="J9" s="6">
        <f>ROUND($C$37*$C$33,2)</f>
        <v>103.88</v>
      </c>
      <c r="K9" s="6">
        <f>ROUND($C$37*$C$33,2)</f>
        <v>103.88</v>
      </c>
    </row>
    <row r="10" spans="1:11" ht="13.9" x14ac:dyDescent="0.4">
      <c r="A10" s="11" t="s">
        <v>188</v>
      </c>
      <c r="B10" s="6">
        <f>ROUND(IF($C$38, $C$45, 0),2)</f>
        <v>25</v>
      </c>
      <c r="C10" s="6">
        <f>ROUND(IF($C$38, $C$45, 0),2)</f>
        <v>25</v>
      </c>
      <c r="D10" s="6">
        <f>ROUND(IF($C$38, $C$45, 0),2)</f>
        <v>25</v>
      </c>
      <c r="E10" s="6">
        <f>ROUND(IF($C$38, $C$45, 0),2)</f>
        <v>25</v>
      </c>
      <c r="F10" s="6">
        <f>ROUND(IF($C$38, $C$45, 0),2)</f>
        <v>25</v>
      </c>
      <c r="G10" s="6">
        <f>ROUND(IF($C$38, $C$45, 0),2)</f>
        <v>25</v>
      </c>
      <c r="H10" s="6">
        <f>ROUND(IF($C$38, $C$45, 0),2)</f>
        <v>25</v>
      </c>
      <c r="I10" s="12">
        <f>ROUND(IF($C$38, $C$45, 0),2)</f>
        <v>25</v>
      </c>
      <c r="J10" s="6">
        <f>ROUND(IF($C$38, $C$45, 0),2)</f>
        <v>25</v>
      </c>
      <c r="K10" s="6">
        <f>ROUND(IF($C$38, $C$45, 0),2)</f>
        <v>25</v>
      </c>
    </row>
    <row r="11" spans="1:11" ht="13.9" x14ac:dyDescent="0.4">
      <c r="A11" s="11" t="s">
        <v>187</v>
      </c>
      <c r="B11" s="6">
        <f>ROUND($C$36,2)</f>
        <v>15</v>
      </c>
      <c r="C11" s="6">
        <f>ROUND($C$36,2)</f>
        <v>15</v>
      </c>
      <c r="D11" s="6">
        <f>ROUND($C$36,2)</f>
        <v>15</v>
      </c>
      <c r="E11" s="6">
        <f>ROUND($C$36,2)</f>
        <v>15</v>
      </c>
      <c r="F11" s="6">
        <f>ROUND($C$36,2)</f>
        <v>15</v>
      </c>
      <c r="G11" s="6">
        <f>ROUND($C$36,2)</f>
        <v>15</v>
      </c>
      <c r="H11" s="6">
        <f>ROUND($C$36,2)</f>
        <v>15</v>
      </c>
      <c r="I11" s="12">
        <f>ROUND($C$36,2)</f>
        <v>15</v>
      </c>
      <c r="J11" s="6">
        <f>ROUND($C$36,2)</f>
        <v>15</v>
      </c>
      <c r="K11" s="6">
        <f>ROUND($C$36,2)</f>
        <v>15</v>
      </c>
    </row>
    <row r="12" spans="1:11" ht="13.9" x14ac:dyDescent="0.4">
      <c r="A12" s="11" t="s">
        <v>368</v>
      </c>
      <c r="B12" s="6">
        <f>ROUND(B13-IF($C$62&gt;0, $C$37/$C$62, 0),2)</f>
        <v>59.04</v>
      </c>
      <c r="C12" s="6">
        <f>ROUND(C13-IF($C$62&gt;0, $C$37/$C$62, 0),2)</f>
        <v>125.78</v>
      </c>
      <c r="D12" s="6">
        <f>ROUND(D13-IF($C$62&gt;0, $C$37/$C$62, 0),2)</f>
        <v>192.51</v>
      </c>
      <c r="E12" s="6">
        <f>ROUND(E13-IF($C$62&gt;0, $C$37/$C$62, 0),2)</f>
        <v>259.26</v>
      </c>
      <c r="F12" s="6">
        <f>ROUND(F13-IF($C$62&gt;0, $C$37/$C$62, 0),2)</f>
        <v>325.99</v>
      </c>
      <c r="G12" s="6">
        <f>ROUND(G13-IF($C$62&gt;0, $C$37/$C$62, 0),2)</f>
        <v>392.72</v>
      </c>
      <c r="H12" s="6">
        <f>ROUND(H13-IF($C$62&gt;0, $C$37/$C$62, 0),2)</f>
        <v>459.45</v>
      </c>
      <c r="I12" s="12">
        <f>ROUND(I13-IF($C$62&gt;0, $C$37/$C$62, 0),2)</f>
        <v>526.17999999999995</v>
      </c>
      <c r="J12" s="6">
        <f>ROUND(J13-IF($C$62&gt;0, $C$37/$C$62, 0),2)</f>
        <v>592.92999999999995</v>
      </c>
      <c r="K12" s="6">
        <f>ROUND(K13-IF($C$62&gt;0, $C$37/$C$62, 0),2)</f>
        <v>659.67</v>
      </c>
    </row>
    <row r="13" spans="1:11" ht="13.9" x14ac:dyDescent="0.4">
      <c r="A13" s="14" t="s">
        <v>367</v>
      </c>
      <c r="B13" s="12">
        <f>ROUND(B3-B5-B6-B7-B8-B11-B9-B10+B4,2)</f>
        <v>157.97</v>
      </c>
      <c r="C13" s="12">
        <f>ROUND(C3-C5-C6-C7-C8-C11-C9-C10+C4,2)</f>
        <v>224.71</v>
      </c>
      <c r="D13" s="12">
        <f>ROUND(D3-D5-D6-D7-D8-D11-D9-D10+D4,2)</f>
        <v>291.44</v>
      </c>
      <c r="E13" s="12">
        <f>ROUND(E3-E5-E6-E7-E8-E11-E9-E10+E4,2)</f>
        <v>358.19</v>
      </c>
      <c r="F13" s="12">
        <f>ROUND(F3-F5-F6-F7-F8-F11-F9-F10+F4,2)</f>
        <v>424.92</v>
      </c>
      <c r="G13" s="12">
        <f>ROUND(G3-G5-G6-G7-G8-G11-G9-G10+G4,2)</f>
        <v>491.65</v>
      </c>
      <c r="H13" s="12">
        <f>ROUND(H3-H5-H6-H7-H8-H11-H9-H10+H4,2)</f>
        <v>558.38</v>
      </c>
      <c r="I13" s="12">
        <f>ROUND(I3-I5-I6-I7-I8-I11-I9-I10+I4,2)</f>
        <v>625.11</v>
      </c>
      <c r="J13" s="12">
        <f>ROUND(J3-J5-J6-J7-J8-J11-J9-J10+J4,2)</f>
        <v>691.86</v>
      </c>
      <c r="K13" s="12">
        <f>ROUND(K3-K5-K6-K7-K8-K11-K9-K10+K4,2)</f>
        <v>758.6</v>
      </c>
    </row>
    <row r="14" spans="1:11" ht="13.9" x14ac:dyDescent="0.4">
      <c r="A14" s="14" t="s">
        <v>366</v>
      </c>
      <c r="B14" s="12">
        <f>IF(B13&lt;=0,"不可回收",ROUND($C$37/B13,2))</f>
        <v>9.39</v>
      </c>
      <c r="C14" s="12">
        <f>IF(C13&lt;=0,"不可回收",ROUND($C$37/C13,2))</f>
        <v>6.6</v>
      </c>
      <c r="D14" s="12">
        <f>IF(D13&lt;=0,"不可回收",ROUND($C$37/D13,2))</f>
        <v>5.09</v>
      </c>
      <c r="E14" s="12">
        <f>IF(E13&lt;=0,"不可回收",ROUND($C$37/E13,2))</f>
        <v>4.1399999999999997</v>
      </c>
      <c r="F14" s="12">
        <f>IF(F13&lt;=0,"不可回收",ROUND($C$37/F13,2))</f>
        <v>3.49</v>
      </c>
      <c r="G14" s="12">
        <f>IF(G13&lt;=0,"不可回收",ROUND($C$37/G13,2))</f>
        <v>3.02</v>
      </c>
      <c r="H14" s="12">
        <f>IF(H13&lt;=0,"不可回收",ROUND($C$37/H13,2))</f>
        <v>2.66</v>
      </c>
      <c r="I14" s="12">
        <f>IF(I13&lt;=0,"不可回收",ROUND($C$37/I13,2))</f>
        <v>2.37</v>
      </c>
      <c r="J14" s="12">
        <f>IF(J13&lt;=0,"不可回收",ROUND($C$37/J13,2))</f>
        <v>2.14</v>
      </c>
      <c r="K14" s="12">
        <f>IF(K13&lt;=0,"不可回收",ROUND($C$37/K13,2))</f>
        <v>1.96</v>
      </c>
    </row>
    <row r="15" spans="1:11" ht="13.9" x14ac:dyDescent="0.4">
      <c r="A15" s="14" t="s">
        <v>365</v>
      </c>
      <c r="B15" s="12">
        <f ca="1">IFERROR(ROUND(IRR(OFFSET(B77,0,0,$C$60+1,1))*100,2),"")</f>
        <v>7.09</v>
      </c>
      <c r="C15" s="12">
        <f ca="1">IFERROR(ROUND(IRR(OFFSET(B120,0,0,$C$60+1,1))*100,2),"")</f>
        <v>12.9</v>
      </c>
      <c r="D15" s="12">
        <f ca="1">IFERROR(ROUND(IRR(OFFSET(B163,0,0,$C$60+1,1))*100,2),"")</f>
        <v>18.190000000000001</v>
      </c>
      <c r="E15" s="12">
        <f ca="1">IFERROR(ROUND(IRR(OFFSET(B206,0,0,$C$60+1,1))*100,2),"")</f>
        <v>23.18</v>
      </c>
      <c r="F15" s="12">
        <f ca="1">IFERROR(ROUND(IRR(OFFSET(B249,0,0,$C$60+1,1))*100,2),"")</f>
        <v>28</v>
      </c>
      <c r="G15" s="12">
        <f ca="1">IFERROR(ROUND(IRR(OFFSET(B292,0,0,$C$60+1,1))*100,2),"")</f>
        <v>32.700000000000003</v>
      </c>
      <c r="H15" s="12">
        <f ca="1">IFERROR(ROUND(IRR(OFFSET(B335,0,0,$C$60+1,1))*100,2),"")</f>
        <v>37.340000000000003</v>
      </c>
      <c r="I15" s="12">
        <f ca="1">IFERROR(ROUND(IRR(OFFSET(B378,0,0,$C$60+1,1))*100,2),"")</f>
        <v>41.92</v>
      </c>
      <c r="J15" s="12">
        <f ca="1">IFERROR(ROUND(IRR(OFFSET(B421,0,0,$C$60+1,1))*100,2),"")</f>
        <v>46.48</v>
      </c>
      <c r="K15" s="12">
        <f ca="1">IFERROR(ROUND(IRR(OFFSET(B464,0,0,$C$60+1,1))*100,2),"")</f>
        <v>51.02</v>
      </c>
    </row>
    <row r="16" spans="1:11" ht="13.9" x14ac:dyDescent="0.4">
      <c r="A16" s="14" t="s">
        <v>364</v>
      </c>
      <c r="B16" s="12">
        <f ca="1">ROUND(NPV($C$63,OFFSET(B77,1,0,$C$60,1))+B77,2)</f>
        <v>-169.91</v>
      </c>
      <c r="C16" s="12">
        <f ca="1">ROUND(NPV($C$63,OFFSET(B120,1,0,$C$60,1))+B120,2)</f>
        <v>368.06</v>
      </c>
      <c r="D16" s="12">
        <f ca="1">ROUND(NPV($C$63,OFFSET(B163,1,0,$C$60,1))+B163,2)</f>
        <v>905.95</v>
      </c>
      <c r="E16" s="12">
        <f ca="1">ROUND(NPV($C$63,OFFSET(B206,1,0,$C$60,1))+B206,2)</f>
        <v>1444</v>
      </c>
      <c r="F16" s="12">
        <f ca="1">ROUND(NPV($C$63,OFFSET(B249,1,0,$C$60,1))+B249,2)</f>
        <v>1981.89</v>
      </c>
      <c r="G16" s="12">
        <f ca="1">ROUND(NPV($C$63,OFFSET(B292,1,0,$C$60,1))+B292,2)</f>
        <v>2519.7800000000002</v>
      </c>
      <c r="H16" s="12">
        <f ca="1">ROUND(NPV($C$63,OFFSET(B335,1,0,$C$60,1))+B335,2)</f>
        <v>3057.67</v>
      </c>
      <c r="I16" s="12">
        <f ca="1">ROUND(NPV($C$63,OFFSET(B378,1,0,$C$60,1))+B378,2)</f>
        <v>3595.56</v>
      </c>
      <c r="J16" s="12">
        <f ca="1">ROUND(NPV($C$63,OFFSET(B421,1,0,$C$60,1))+B421,2)</f>
        <v>4133.6099999999997</v>
      </c>
      <c r="K16" s="12">
        <f ca="1">ROUND(NPV($C$63,OFFSET(B464,1,0,$C$60,1))+B464,2)</f>
        <v>4671.58</v>
      </c>
    </row>
    <row r="17" spans="1:11" ht="27.75" x14ac:dyDescent="0.4">
      <c r="A17" s="11" t="s">
        <v>176</v>
      </c>
      <c r="B17" s="6" t="str">
        <f>"以"&amp;$C$27&amp;"元/吨蒸汽价、"&amp;$C$29&amp;"元/方气价估算"</f>
        <v>以290元/吨蒸汽价、2.98元/方气价估算</v>
      </c>
      <c r="C17" s="6" t="str">
        <f>"以"&amp;$C$27&amp;"元/吨蒸汽价、"&amp;$C$29&amp;"元/方气价估算"</f>
        <v>以290元/吨蒸汽价、2.98元/方气价估算</v>
      </c>
      <c r="D17" s="6" t="str">
        <f>"以"&amp;$C$27&amp;"元/吨蒸汽价、"&amp;$C$29&amp;"元/方气价估算"</f>
        <v>以290元/吨蒸汽价、2.98元/方气价估算</v>
      </c>
      <c r="E17" s="6" t="str">
        <f>"以"&amp;$C$27&amp;"元/吨蒸汽价、"&amp;$C$29&amp;"元/方气价估算"</f>
        <v>以290元/吨蒸汽价、2.98元/方气价估算</v>
      </c>
      <c r="F17" s="6" t="str">
        <f>"以"&amp;$C$27&amp;"元/吨蒸汽价、"&amp;$C$29&amp;"元/方气价估算"</f>
        <v>以290元/吨蒸汽价、2.98元/方气价估算</v>
      </c>
      <c r="G17" s="6" t="str">
        <f>"以"&amp;$C$27&amp;"元/吨蒸汽价、"&amp;$C$29&amp;"元/方气价估算"</f>
        <v>以290元/吨蒸汽价、2.98元/方气价估算</v>
      </c>
      <c r="H17" s="6" t="str">
        <f>"以"&amp;$C$27&amp;"元/吨蒸汽价、"&amp;$C$29&amp;"元/方气价估算"</f>
        <v>以290元/吨蒸汽价、2.98元/方气价估算</v>
      </c>
      <c r="I17" s="12" t="str">
        <f>"以"&amp;$C$27&amp;"元/吨蒸汽价、"&amp;$C$29&amp;"元/方气价估算"</f>
        <v>以290元/吨蒸汽价、2.98元/方气价估算</v>
      </c>
      <c r="J17" s="6" t="str">
        <f>"以"&amp;$C$27&amp;"元/吨蒸汽价、"&amp;$C$29&amp;"元/方气价估算"</f>
        <v>以290元/吨蒸汽价、2.98元/方气价估算</v>
      </c>
      <c r="K17" s="6" t="str">
        <f>"以"&amp;$C$27&amp;"元/吨蒸汽价、"&amp;$C$29&amp;"元/方气价估算"</f>
        <v>以290元/吨蒸汽价、2.98元/方气价估算</v>
      </c>
    </row>
    <row r="18" spans="1:11" ht="27" x14ac:dyDescent="0.4">
      <c r="A18" s="11" t="s">
        <v>186</v>
      </c>
      <c r="B18" s="6">
        <f>ROUND(B6/$C$29*(4.3-$C$29),2)</f>
        <v>367.42</v>
      </c>
      <c r="C18" s="6">
        <f>ROUND(C6/$C$29*(4.3-$C$29),2)</f>
        <v>440</v>
      </c>
      <c r="D18" s="6">
        <f>ROUND(D6/$C$29*(4.3-$C$29),2)</f>
        <v>512.58000000000004</v>
      </c>
      <c r="E18" s="6">
        <f>ROUND(E6/$C$29*(4.3-$C$29),2)</f>
        <v>585.15</v>
      </c>
      <c r="F18" s="6">
        <f>ROUND(F6/$C$29*(4.3-$C$29),2)</f>
        <v>657.73</v>
      </c>
      <c r="G18" s="6">
        <f>ROUND(G6/$C$29*(4.3-$C$29),2)</f>
        <v>730.31</v>
      </c>
      <c r="H18" s="6">
        <f>ROUND(H6/$C$29*(4.3-$C$29),2)</f>
        <v>802.88</v>
      </c>
      <c r="I18" s="12">
        <f>ROUND(I6/$C$29*(4.3-$C$29),2)</f>
        <v>875.46</v>
      </c>
      <c r="J18" s="6">
        <f>ROUND(J6/$C$29*(4.3-$C$29),2)</f>
        <v>948.03</v>
      </c>
      <c r="K18" s="6">
        <f>ROUND(K6/$C$29*(4.3-$C$29),2)</f>
        <v>1020.62</v>
      </c>
    </row>
    <row r="19" spans="1:11" ht="13.9" x14ac:dyDescent="0.4">
      <c r="A19" s="10" t="s">
        <v>363</v>
      </c>
      <c r="B19" s="9">
        <f>IF($C$32="customer", MIN($C$64, ($C$25*24*$C$26*365)*(1-$C$31)), MIN($C$64, ($C$25*24*$C$26*365))*(1-$C$31))</f>
        <v>36000</v>
      </c>
      <c r="C19" s="9">
        <f>IF($C$32="customer", MIN($C$65, ($C$25*24*$C$26*365)*(1-$C$31)), MIN($C$65, ($C$25*24*$C$26*365))*(1-$C$31))</f>
        <v>43111</v>
      </c>
      <c r="D19" s="9">
        <f>IF($C$32="customer", MIN($C$66, ($C$25*24*$C$26*365)*(1-$C$31)), MIN($C$66, ($C$25*24*$C$26*365))*(1-$C$31))</f>
        <v>50222</v>
      </c>
      <c r="E19" s="9">
        <f>IF($C$32="customer", MIN($C$67, ($C$25*24*$C$26*365)*(1-$C$31)), MIN($C$67, ($C$25*24*$C$26*365))*(1-$C$31))</f>
        <v>57333</v>
      </c>
      <c r="F19" s="9">
        <f>IF($C$32="customer", MIN($C$68, ($C$25*24*$C$26*365)*(1-$C$31)), MIN($C$68, ($C$25*24*$C$26*365))*(1-$C$31))</f>
        <v>64444</v>
      </c>
      <c r="G19" s="9">
        <f>IF($C$32="customer", MIN($C$69, ($C$25*24*$C$26*365)*(1-$C$31)), MIN($C$69, ($C$25*24*$C$26*365))*(1-$C$31))</f>
        <v>71555</v>
      </c>
      <c r="H19" s="9">
        <f>IF($C$32="customer", MIN($C$70, ($C$25*24*$C$26*365)*(1-$C$31)), MIN($C$70, ($C$25*24*$C$26*365))*(1-$C$31))</f>
        <v>78666</v>
      </c>
      <c r="I19" s="13">
        <f>IF($C$32="customer", MIN($C$71, ($C$25*24*$C$26*365)*(1-$C$31)), MIN($C$71, ($C$25*24*$C$26*365))*(1-$C$31))</f>
        <v>85777</v>
      </c>
      <c r="J19" s="9">
        <f>IF($C$32="customer", MIN($C$72, ($C$25*24*$C$26*365)*(1-$C$31)), MIN($C$72, ($C$25*24*$C$26*365))*(1-$C$31))</f>
        <v>92888</v>
      </c>
      <c r="K19" s="9">
        <f>IF($C$32="customer", MIN($C$73, ($C$25*24*$C$26*365)*(1-$C$31)), MIN($C$73, ($C$25*24*$C$26*365))*(1-$C$31))</f>
        <v>100000</v>
      </c>
    </row>
    <row r="20" spans="1:11" ht="13.9" x14ac:dyDescent="0.4">
      <c r="A20" s="10" t="s">
        <v>362</v>
      </c>
      <c r="B20" s="9">
        <f>IF($C$32="customer", B19/(1-$C$31), MIN($C$64, ($C$25*24*$C$26*365)))</f>
        <v>37113.402061855668</v>
      </c>
      <c r="C20" s="9">
        <f>IF($C$32="customer", C19/(1-$C$31), MIN($C$65, ($C$25*24*$C$26*365)))</f>
        <v>44444.32989690722</v>
      </c>
      <c r="D20" s="9">
        <f>IF($C$32="customer", D19/(1-$C$31), MIN($C$66, ($C$25*24*$C$26*365)))</f>
        <v>51775.257731958765</v>
      </c>
      <c r="E20" s="9">
        <f>IF($C$32="customer", E19/(1-$C$31), MIN($C$67, ($C$25*24*$C$26*365)))</f>
        <v>59106.18556701031</v>
      </c>
      <c r="F20" s="9">
        <f>IF($C$32="customer", F19/(1-$C$31), MIN($C$68, ($C$25*24*$C$26*365)))</f>
        <v>66437.113402061863</v>
      </c>
      <c r="G20" s="9">
        <f>IF($C$32="customer", G19/(1-$C$31), MIN($C$69, ($C$25*24*$C$26*365)))</f>
        <v>73768.041237113401</v>
      </c>
      <c r="H20" s="9">
        <f>IF($C$32="customer", H19/(1-$C$31), MIN($C$70, ($C$25*24*$C$26*365)))</f>
        <v>81098.969072164953</v>
      </c>
      <c r="I20" s="13">
        <f>IF($C$32="customer", I19/(1-$C$31), MIN($C$71, ($C$25*24*$C$26*365)))</f>
        <v>88429.896907216491</v>
      </c>
      <c r="J20" s="9">
        <f>IF($C$32="customer", J19/(1-$C$31), MIN($C$72, ($C$25*24*$C$26*365)))</f>
        <v>95760.824742268043</v>
      </c>
      <c r="K20" s="9">
        <f>IF($C$32="customer", K19/(1-$C$31), MIN($C$73, ($C$25*24*$C$26*365)))</f>
        <v>103092.78350515464</v>
      </c>
    </row>
    <row r="21" spans="1:11" ht="13.9" x14ac:dyDescent="0.4">
      <c r="A21" s="10" t="s">
        <v>361</v>
      </c>
      <c r="B21" s="9">
        <f>IF($C$32="customer", B19, B20)</f>
        <v>36000</v>
      </c>
      <c r="C21" s="9">
        <f>IF($C$32="customer", C19, C20)</f>
        <v>43111</v>
      </c>
      <c r="D21" s="9">
        <f>IF($C$32="customer", D19, D20)</f>
        <v>50222</v>
      </c>
      <c r="E21" s="9">
        <f>IF($C$32="customer", E19, E20)</f>
        <v>57333</v>
      </c>
      <c r="F21" s="9">
        <f>IF($C$32="customer", F19, F20)</f>
        <v>64444</v>
      </c>
      <c r="G21" s="9">
        <f>IF($C$32="customer", G19, G20)</f>
        <v>71555</v>
      </c>
      <c r="H21" s="9">
        <f>IF($C$32="customer", H19, H20)</f>
        <v>78666</v>
      </c>
      <c r="I21" s="13">
        <f>IF($C$32="customer", I19, I20)</f>
        <v>85777</v>
      </c>
      <c r="J21" s="9">
        <f>IF($C$32="customer", J19, J20)</f>
        <v>92888</v>
      </c>
      <c r="K21" s="9">
        <f>IF($C$32="customer", K19, K20)</f>
        <v>100000</v>
      </c>
    </row>
    <row r="24" spans="1:11" ht="13.9" x14ac:dyDescent="0.4">
      <c r="A24" s="8" t="s">
        <v>185</v>
      </c>
      <c r="B24" s="8" t="s">
        <v>184</v>
      </c>
      <c r="C24" s="8" t="s">
        <v>183</v>
      </c>
      <c r="D24" s="8" t="s">
        <v>182</v>
      </c>
    </row>
    <row r="25" spans="1:11" ht="13.9" x14ac:dyDescent="0.4">
      <c r="A25" s="7" t="s">
        <v>360</v>
      </c>
      <c r="B25" s="7" t="s">
        <v>359</v>
      </c>
      <c r="C25" s="6">
        <v>35</v>
      </c>
      <c r="D25" s="7" t="s">
        <v>173</v>
      </c>
    </row>
    <row r="26" spans="1:11" ht="13.9" x14ac:dyDescent="0.4">
      <c r="A26" s="7" t="s">
        <v>358</v>
      </c>
      <c r="B26" s="7" t="s">
        <v>357</v>
      </c>
      <c r="C26" s="6">
        <v>0.7</v>
      </c>
      <c r="D26" s="7" t="s">
        <v>269</v>
      </c>
    </row>
    <row r="27" spans="1:11" ht="13.9" x14ac:dyDescent="0.4">
      <c r="A27" s="7" t="s">
        <v>356</v>
      </c>
      <c r="B27" s="7" t="s">
        <v>355</v>
      </c>
      <c r="C27" s="6">
        <v>290</v>
      </c>
      <c r="D27" s="7" t="s">
        <v>281</v>
      </c>
    </row>
    <row r="28" spans="1:11" ht="13.9" x14ac:dyDescent="0.4">
      <c r="A28" s="7" t="s">
        <v>354</v>
      </c>
      <c r="B28" s="7" t="s">
        <v>353</v>
      </c>
      <c r="C28" s="6">
        <v>4.0999999999999996</v>
      </c>
      <c r="D28" s="7" t="s">
        <v>352</v>
      </c>
    </row>
    <row r="29" spans="1:11" ht="13.9" x14ac:dyDescent="0.4">
      <c r="A29" s="7" t="s">
        <v>351</v>
      </c>
      <c r="B29" s="7" t="s">
        <v>350</v>
      </c>
      <c r="C29" s="6">
        <v>2.98</v>
      </c>
      <c r="D29" s="7" t="s">
        <v>349</v>
      </c>
    </row>
    <row r="30" spans="1:11" ht="13.9" x14ac:dyDescent="0.4">
      <c r="A30" s="7" t="s">
        <v>348</v>
      </c>
      <c r="B30" s="7" t="s">
        <v>347</v>
      </c>
      <c r="C30" s="6">
        <v>75</v>
      </c>
      <c r="D30" s="7" t="s">
        <v>346</v>
      </c>
    </row>
    <row r="31" spans="1:11" ht="13.9" x14ac:dyDescent="0.4">
      <c r="A31" s="7" t="s">
        <v>345</v>
      </c>
      <c r="B31" s="7" t="s">
        <v>344</v>
      </c>
      <c r="C31" s="6">
        <v>0.03</v>
      </c>
      <c r="D31" s="7" t="s">
        <v>269</v>
      </c>
    </row>
    <row r="32" spans="1:11" ht="13.9" x14ac:dyDescent="0.4">
      <c r="A32" s="7" t="s">
        <v>343</v>
      </c>
      <c r="B32" s="7" t="s">
        <v>342</v>
      </c>
      <c r="C32" s="6" t="s">
        <v>341</v>
      </c>
      <c r="D32" s="7" t="s">
        <v>340</v>
      </c>
    </row>
    <row r="33" spans="1:4" ht="13.9" x14ac:dyDescent="0.4">
      <c r="A33" s="7" t="s">
        <v>339</v>
      </c>
      <c r="B33" s="7" t="s">
        <v>338</v>
      </c>
      <c r="C33" s="6">
        <v>7.0000000000000007E-2</v>
      </c>
      <c r="D33" s="7"/>
    </row>
    <row r="34" spans="1:4" ht="13.9" x14ac:dyDescent="0.4">
      <c r="A34" s="7" t="s">
        <v>337</v>
      </c>
      <c r="B34" s="7" t="s">
        <v>336</v>
      </c>
      <c r="C34" s="6">
        <v>60000</v>
      </c>
      <c r="D34" s="7" t="s">
        <v>335</v>
      </c>
    </row>
    <row r="35" spans="1:4" ht="13.9" x14ac:dyDescent="0.4">
      <c r="A35" s="7" t="s">
        <v>334</v>
      </c>
      <c r="B35" s="7" t="s">
        <v>333</v>
      </c>
      <c r="C35" s="6">
        <v>6</v>
      </c>
      <c r="D35" s="7" t="s">
        <v>332</v>
      </c>
    </row>
    <row r="36" spans="1:4" ht="13.9" x14ac:dyDescent="0.4">
      <c r="A36" s="7" t="s">
        <v>331</v>
      </c>
      <c r="B36" s="7" t="s">
        <v>330</v>
      </c>
      <c r="C36" s="6">
        <v>15</v>
      </c>
      <c r="D36" s="7" t="s">
        <v>309</v>
      </c>
    </row>
    <row r="37" spans="1:4" ht="13.9" x14ac:dyDescent="0.4">
      <c r="A37" s="7" t="s">
        <v>329</v>
      </c>
      <c r="B37" s="7" t="s">
        <v>328</v>
      </c>
      <c r="C37" s="6">
        <v>1484</v>
      </c>
      <c r="D37" s="7" t="s">
        <v>23</v>
      </c>
    </row>
    <row r="38" spans="1:4" ht="13.9" x14ac:dyDescent="0.4">
      <c r="A38" s="7" t="s">
        <v>327</v>
      </c>
      <c r="B38" s="7" t="s">
        <v>326</v>
      </c>
      <c r="C38" s="6" t="b">
        <v>1</v>
      </c>
      <c r="D38" s="7" t="s">
        <v>8</v>
      </c>
    </row>
    <row r="39" spans="1:4" ht="13.9" x14ac:dyDescent="0.4">
      <c r="A39" s="7" t="s">
        <v>325</v>
      </c>
      <c r="B39" s="7" t="s">
        <v>324</v>
      </c>
      <c r="C39" s="6">
        <v>0.6</v>
      </c>
      <c r="D39" s="7" t="s">
        <v>269</v>
      </c>
    </row>
    <row r="40" spans="1:4" ht="13.9" x14ac:dyDescent="0.4">
      <c r="A40" s="7" t="s">
        <v>323</v>
      </c>
      <c r="B40" s="7" t="s">
        <v>322</v>
      </c>
      <c r="C40" s="6">
        <v>102</v>
      </c>
      <c r="D40" s="7" t="s">
        <v>319</v>
      </c>
    </row>
    <row r="41" spans="1:4" ht="13.9" x14ac:dyDescent="0.4">
      <c r="A41" s="7" t="s">
        <v>321</v>
      </c>
      <c r="B41" s="7" t="s">
        <v>320</v>
      </c>
      <c r="C41" s="6">
        <v>15</v>
      </c>
      <c r="D41" s="7" t="s">
        <v>319</v>
      </c>
    </row>
    <row r="42" spans="1:4" ht="13.9" x14ac:dyDescent="0.4">
      <c r="A42" s="7" t="s">
        <v>318</v>
      </c>
      <c r="B42" s="7" t="s">
        <v>317</v>
      </c>
      <c r="C42" s="6">
        <v>0.05</v>
      </c>
      <c r="D42" s="7" t="s">
        <v>269</v>
      </c>
    </row>
    <row r="43" spans="1:4" ht="13.9" x14ac:dyDescent="0.4">
      <c r="A43" s="7" t="s">
        <v>316</v>
      </c>
      <c r="B43" s="7" t="s">
        <v>315</v>
      </c>
      <c r="C43" s="6">
        <v>0.03</v>
      </c>
      <c r="D43" s="7" t="s">
        <v>269</v>
      </c>
    </row>
    <row r="44" spans="1:4" ht="13.9" x14ac:dyDescent="0.4">
      <c r="A44" s="7" t="s">
        <v>314</v>
      </c>
      <c r="B44" s="7" t="s">
        <v>313</v>
      </c>
      <c r="C44" s="6">
        <v>1</v>
      </c>
      <c r="D44" s="7" t="s">
        <v>312</v>
      </c>
    </row>
    <row r="45" spans="1:4" ht="13.9" x14ac:dyDescent="0.4">
      <c r="A45" s="7" t="s">
        <v>311</v>
      </c>
      <c r="B45" s="7" t="s">
        <v>310</v>
      </c>
      <c r="C45" s="6">
        <v>25</v>
      </c>
      <c r="D45" s="7" t="s">
        <v>309</v>
      </c>
    </row>
    <row r="46" spans="1:4" ht="13.9" x14ac:dyDescent="0.4">
      <c r="A46" s="7" t="s">
        <v>308</v>
      </c>
      <c r="B46" s="7" t="s">
        <v>307</v>
      </c>
      <c r="C46" s="6">
        <v>4.0999999999999996</v>
      </c>
      <c r="D46" s="7" t="s">
        <v>281</v>
      </c>
    </row>
    <row r="47" spans="1:4" ht="13.9" x14ac:dyDescent="0.4">
      <c r="A47" s="7" t="s">
        <v>306</v>
      </c>
      <c r="B47" s="7" t="s">
        <v>305</v>
      </c>
      <c r="C47" s="6">
        <v>3</v>
      </c>
      <c r="D47" s="7" t="s">
        <v>281</v>
      </c>
    </row>
    <row r="48" spans="1:4" ht="13.9" x14ac:dyDescent="0.4">
      <c r="A48" s="7" t="s">
        <v>304</v>
      </c>
      <c r="B48" s="7" t="s">
        <v>303</v>
      </c>
      <c r="C48" s="6">
        <v>1.5</v>
      </c>
      <c r="D48" s="7" t="s">
        <v>281</v>
      </c>
    </row>
    <row r="49" spans="1:4" ht="13.9" x14ac:dyDescent="0.4">
      <c r="A49" s="7" t="s">
        <v>302</v>
      </c>
      <c r="B49" s="7" t="s">
        <v>301</v>
      </c>
      <c r="C49" s="6">
        <v>0.9</v>
      </c>
      <c r="D49" s="7"/>
    </row>
    <row r="50" spans="1:4" ht="13.9" x14ac:dyDescent="0.4">
      <c r="A50" s="7" t="s">
        <v>300</v>
      </c>
      <c r="B50" s="7" t="s">
        <v>299</v>
      </c>
      <c r="C50" s="6">
        <v>35</v>
      </c>
      <c r="D50" s="7" t="s">
        <v>298</v>
      </c>
    </row>
    <row r="51" spans="1:4" ht="13.9" x14ac:dyDescent="0.4">
      <c r="A51" s="7" t="s">
        <v>297</v>
      </c>
      <c r="B51" s="7" t="s">
        <v>296</v>
      </c>
      <c r="C51" s="6">
        <v>0.85</v>
      </c>
      <c r="D51" s="7" t="s">
        <v>269</v>
      </c>
    </row>
    <row r="52" spans="1:4" ht="13.9" x14ac:dyDescent="0.4">
      <c r="A52" s="7" t="s">
        <v>295</v>
      </c>
      <c r="B52" s="7" t="s">
        <v>294</v>
      </c>
      <c r="C52" s="6">
        <v>4.1900000000000004</v>
      </c>
      <c r="D52" s="7" t="s">
        <v>293</v>
      </c>
    </row>
    <row r="53" spans="1:4" ht="13.9" x14ac:dyDescent="0.4">
      <c r="A53" s="7" t="s">
        <v>292</v>
      </c>
      <c r="B53" s="7" t="s">
        <v>291</v>
      </c>
      <c r="C53" s="6">
        <v>2201</v>
      </c>
      <c r="D53" s="7" t="s">
        <v>290</v>
      </c>
    </row>
    <row r="54" spans="1:4" ht="13.9" x14ac:dyDescent="0.4">
      <c r="A54" s="7" t="s">
        <v>289</v>
      </c>
      <c r="B54" s="7" t="s">
        <v>288</v>
      </c>
      <c r="C54" s="6">
        <v>0.1</v>
      </c>
      <c r="D54" s="7"/>
    </row>
    <row r="55" spans="1:4" ht="13.9" x14ac:dyDescent="0.4">
      <c r="A55" s="7" t="s">
        <v>287</v>
      </c>
      <c r="B55" s="7" t="s">
        <v>286</v>
      </c>
      <c r="C55" s="6" t="b">
        <v>0</v>
      </c>
      <c r="D55" s="7" t="s">
        <v>8</v>
      </c>
    </row>
    <row r="56" spans="1:4" ht="13.9" x14ac:dyDescent="0.4">
      <c r="A56" s="7" t="s">
        <v>285</v>
      </c>
      <c r="B56" s="7" t="s">
        <v>284</v>
      </c>
      <c r="C56" s="6">
        <v>4</v>
      </c>
      <c r="D56" s="7" t="s">
        <v>281</v>
      </c>
    </row>
    <row r="57" spans="1:4" ht="13.9" x14ac:dyDescent="0.4">
      <c r="A57" s="7" t="s">
        <v>283</v>
      </c>
      <c r="B57" s="7" t="s">
        <v>282</v>
      </c>
      <c r="C57" s="6">
        <v>15</v>
      </c>
      <c r="D57" s="7" t="s">
        <v>281</v>
      </c>
    </row>
    <row r="58" spans="1:4" ht="13.9" x14ac:dyDescent="0.4">
      <c r="A58" s="7" t="s">
        <v>280</v>
      </c>
      <c r="B58" s="7" t="s">
        <v>279</v>
      </c>
      <c r="C58" s="6">
        <v>0.35</v>
      </c>
      <c r="D58" s="7" t="s">
        <v>269</v>
      </c>
    </row>
    <row r="59" spans="1:4" ht="13.9" x14ac:dyDescent="0.4">
      <c r="A59" s="7" t="s">
        <v>278</v>
      </c>
      <c r="B59" s="7" t="s">
        <v>277</v>
      </c>
      <c r="C59" s="6" t="s">
        <v>276</v>
      </c>
      <c r="D59" s="7" t="s">
        <v>275</v>
      </c>
    </row>
    <row r="60" spans="1:4" ht="13.9" x14ac:dyDescent="0.4">
      <c r="A60" s="7" t="s">
        <v>274</v>
      </c>
      <c r="B60" s="7" t="s">
        <v>273</v>
      </c>
      <c r="C60" s="6">
        <v>15</v>
      </c>
      <c r="D60" s="7" t="s">
        <v>272</v>
      </c>
    </row>
    <row r="61" spans="1:4" ht="13.9" x14ac:dyDescent="0.4">
      <c r="A61" s="7" t="s">
        <v>271</v>
      </c>
      <c r="B61" s="7" t="s">
        <v>270</v>
      </c>
      <c r="C61" s="6">
        <v>0.1</v>
      </c>
      <c r="D61" s="7" t="s">
        <v>269</v>
      </c>
    </row>
    <row r="62" spans="1:4" ht="13.9" x14ac:dyDescent="0.4">
      <c r="A62" s="7" t="s">
        <v>268</v>
      </c>
      <c r="B62" s="7" t="s">
        <v>267</v>
      </c>
      <c r="C62" s="6">
        <v>15</v>
      </c>
      <c r="D62" s="7" t="s">
        <v>266</v>
      </c>
    </row>
    <row r="63" spans="1:4" ht="13.9" x14ac:dyDescent="0.4">
      <c r="A63" s="7" t="s">
        <v>265</v>
      </c>
      <c r="B63" s="7" t="s">
        <v>264</v>
      </c>
      <c r="C63" s="6">
        <v>0.09</v>
      </c>
      <c r="D63" s="7"/>
    </row>
    <row r="64" spans="1:4" ht="13.9" x14ac:dyDescent="0.4">
      <c r="A64" s="7" t="s">
        <v>263</v>
      </c>
      <c r="B64" s="7" t="s">
        <v>262</v>
      </c>
      <c r="C64" s="6">
        <v>36000</v>
      </c>
      <c r="D64" s="7" t="s">
        <v>243</v>
      </c>
    </row>
    <row r="65" spans="1:4" ht="13.9" x14ac:dyDescent="0.4">
      <c r="A65" s="7" t="s">
        <v>261</v>
      </c>
      <c r="B65" s="7" t="s">
        <v>260</v>
      </c>
      <c r="C65" s="6">
        <v>43111</v>
      </c>
      <c r="D65" s="7" t="s">
        <v>243</v>
      </c>
    </row>
    <row r="66" spans="1:4" ht="13.9" x14ac:dyDescent="0.4">
      <c r="A66" s="7" t="s">
        <v>259</v>
      </c>
      <c r="B66" s="7" t="s">
        <v>258</v>
      </c>
      <c r="C66" s="6">
        <v>50222</v>
      </c>
      <c r="D66" s="7" t="s">
        <v>243</v>
      </c>
    </row>
    <row r="67" spans="1:4" ht="13.9" x14ac:dyDescent="0.4">
      <c r="A67" s="7" t="s">
        <v>257</v>
      </c>
      <c r="B67" s="7" t="s">
        <v>256</v>
      </c>
      <c r="C67" s="6">
        <v>57333</v>
      </c>
      <c r="D67" s="7" t="s">
        <v>243</v>
      </c>
    </row>
    <row r="68" spans="1:4" ht="13.9" x14ac:dyDescent="0.4">
      <c r="A68" s="7" t="s">
        <v>255</v>
      </c>
      <c r="B68" s="7" t="s">
        <v>254</v>
      </c>
      <c r="C68" s="6">
        <v>64444</v>
      </c>
      <c r="D68" s="7" t="s">
        <v>243</v>
      </c>
    </row>
    <row r="69" spans="1:4" ht="13.9" x14ac:dyDescent="0.4">
      <c r="A69" s="7" t="s">
        <v>253</v>
      </c>
      <c r="B69" s="7" t="s">
        <v>252</v>
      </c>
      <c r="C69" s="6">
        <v>71555</v>
      </c>
      <c r="D69" s="7" t="s">
        <v>243</v>
      </c>
    </row>
    <row r="70" spans="1:4" ht="13.9" x14ac:dyDescent="0.4">
      <c r="A70" s="7" t="s">
        <v>251</v>
      </c>
      <c r="B70" s="7" t="s">
        <v>250</v>
      </c>
      <c r="C70" s="6">
        <v>78666</v>
      </c>
      <c r="D70" s="7" t="s">
        <v>243</v>
      </c>
    </row>
    <row r="71" spans="1:4" ht="13.9" x14ac:dyDescent="0.4">
      <c r="A71" s="7" t="s">
        <v>249</v>
      </c>
      <c r="B71" s="7" t="s">
        <v>248</v>
      </c>
      <c r="C71" s="6">
        <v>85777</v>
      </c>
      <c r="D71" s="7" t="s">
        <v>243</v>
      </c>
    </row>
    <row r="72" spans="1:4" ht="13.9" x14ac:dyDescent="0.4">
      <c r="A72" s="7" t="s">
        <v>247</v>
      </c>
      <c r="B72" s="7" t="s">
        <v>246</v>
      </c>
      <c r="C72" s="6">
        <v>92888</v>
      </c>
      <c r="D72" s="7" t="s">
        <v>243</v>
      </c>
    </row>
    <row r="73" spans="1:4" ht="13.9" x14ac:dyDescent="0.4">
      <c r="A73" s="7" t="s">
        <v>245</v>
      </c>
      <c r="B73" s="7" t="s">
        <v>244</v>
      </c>
      <c r="C73" s="6">
        <v>100000</v>
      </c>
      <c r="D73" s="7" t="s">
        <v>243</v>
      </c>
    </row>
    <row r="76" spans="1:4" ht="13.9" hidden="1" x14ac:dyDescent="0.4">
      <c r="A76" t="s">
        <v>242</v>
      </c>
    </row>
    <row r="77" spans="1:4" ht="13.9" hidden="1" x14ac:dyDescent="0.4">
      <c r="A77" t="s">
        <v>232</v>
      </c>
      <c r="B77">
        <f>-$C$37</f>
        <v>-1484</v>
      </c>
    </row>
    <row r="78" spans="1:4" ht="13.9" hidden="1" x14ac:dyDescent="0.4">
      <c r="A78" t="s">
        <v>231</v>
      </c>
      <c r="B78">
        <f>IF($C$60&gt;=1,IF($C$60=1,B13+$C$37*$C$61,B13),"")</f>
        <v>157.97</v>
      </c>
    </row>
    <row r="79" spans="1:4" ht="13.9" hidden="1" x14ac:dyDescent="0.4">
      <c r="A79" t="s">
        <v>230</v>
      </c>
      <c r="B79">
        <f>IF($C$60&gt;=2,IF($C$60=2,B13+$C$37*$C$61,B13),"")</f>
        <v>157.97</v>
      </c>
    </row>
    <row r="80" spans="1:4" ht="13.9" hidden="1" x14ac:dyDescent="0.4">
      <c r="A80" t="s">
        <v>229</v>
      </c>
      <c r="B80">
        <f>IF($C$60&gt;=3,IF($C$60=3,B13+$C$37*$C$61,B13),"")</f>
        <v>157.97</v>
      </c>
    </row>
    <row r="81" spans="1:2" ht="13.9" hidden="1" x14ac:dyDescent="0.4">
      <c r="A81" t="s">
        <v>228</v>
      </c>
      <c r="B81">
        <f>IF($C$60&gt;=4,IF($C$60=4,B13+$C$37*$C$61,B13),"")</f>
        <v>157.97</v>
      </c>
    </row>
    <row r="82" spans="1:2" ht="13.9" hidden="1" x14ac:dyDescent="0.4">
      <c r="A82" t="s">
        <v>227</v>
      </c>
      <c r="B82">
        <f>IF($C$60&gt;=5,IF($C$60=5,B13+$C$37*$C$61,B13),"")</f>
        <v>157.97</v>
      </c>
    </row>
    <row r="83" spans="1:2" ht="13.9" hidden="1" x14ac:dyDescent="0.4">
      <c r="A83" t="s">
        <v>226</v>
      </c>
      <c r="B83">
        <f>IF($C$60&gt;=6,IF($C$60=6,B13+$C$37*$C$61,B13),"")</f>
        <v>157.97</v>
      </c>
    </row>
    <row r="84" spans="1:2" ht="13.9" hidden="1" x14ac:dyDescent="0.4">
      <c r="A84" t="s">
        <v>225</v>
      </c>
      <c r="B84">
        <f>IF($C$60&gt;=7,IF($C$60=7,B13+$C$37*$C$61,B13),"")</f>
        <v>157.97</v>
      </c>
    </row>
    <row r="85" spans="1:2" ht="13.9" hidden="1" x14ac:dyDescent="0.4">
      <c r="A85" t="s">
        <v>224</v>
      </c>
      <c r="B85">
        <f>IF($C$60&gt;=8,IF($C$60=8,B13+$C$37*$C$61,B13),"")</f>
        <v>157.97</v>
      </c>
    </row>
    <row r="86" spans="1:2" ht="13.9" hidden="1" x14ac:dyDescent="0.4">
      <c r="A86" t="s">
        <v>223</v>
      </c>
      <c r="B86">
        <f>IF($C$60&gt;=9,IF($C$60=9,B13+$C$37*$C$61,B13),"")</f>
        <v>157.97</v>
      </c>
    </row>
    <row r="87" spans="1:2" ht="13.9" hidden="1" x14ac:dyDescent="0.4">
      <c r="A87" t="s">
        <v>222</v>
      </c>
      <c r="B87">
        <f>IF($C$60&gt;=10,IF($C$60=10,B13+$C$37*$C$61,B13),"")</f>
        <v>157.97</v>
      </c>
    </row>
    <row r="88" spans="1:2" ht="13.9" hidden="1" x14ac:dyDescent="0.4">
      <c r="A88" t="s">
        <v>221</v>
      </c>
      <c r="B88">
        <f>IF($C$60&gt;=11,IF($C$60=11,B13+$C$37*$C$61,B13),"")</f>
        <v>157.97</v>
      </c>
    </row>
    <row r="89" spans="1:2" ht="13.9" hidden="1" x14ac:dyDescent="0.4">
      <c r="A89" t="s">
        <v>220</v>
      </c>
      <c r="B89">
        <f>IF($C$60&gt;=12,IF($C$60=12,B13+$C$37*$C$61,B13),"")</f>
        <v>157.97</v>
      </c>
    </row>
    <row r="90" spans="1:2" ht="13.9" hidden="1" x14ac:dyDescent="0.4">
      <c r="A90" t="s">
        <v>219</v>
      </c>
      <c r="B90">
        <f>IF($C$60&gt;=13,IF($C$60=13,B13+$C$37*$C$61,B13),"")</f>
        <v>157.97</v>
      </c>
    </row>
    <row r="91" spans="1:2" ht="13.9" hidden="1" x14ac:dyDescent="0.4">
      <c r="A91" t="s">
        <v>218</v>
      </c>
      <c r="B91">
        <f>IF($C$60&gt;=14,IF($C$60=14,B13+$C$37*$C$61,B13),"")</f>
        <v>157.97</v>
      </c>
    </row>
    <row r="92" spans="1:2" ht="13.9" hidden="1" x14ac:dyDescent="0.4">
      <c r="A92" t="s">
        <v>217</v>
      </c>
      <c r="B92">
        <f>IF($C$60&gt;=15,IF($C$60=15,B13+$C$37*$C$61,B13),"")</f>
        <v>306.37</v>
      </c>
    </row>
    <row r="93" spans="1:2" ht="13.9" hidden="1" x14ac:dyDescent="0.4">
      <c r="A93" t="s">
        <v>394</v>
      </c>
      <c r="B93" t="str">
        <f>IF($C$60&gt;=16,IF($C$60=16,B13+$C$37*$C$61,B13),"")</f>
        <v/>
      </c>
    </row>
    <row r="94" spans="1:2" ht="13.9" hidden="1" x14ac:dyDescent="0.4">
      <c r="A94" t="s">
        <v>393</v>
      </c>
      <c r="B94" t="str">
        <f>IF($C$60&gt;=17,IF($C$60=17,B13+$C$37*$C$61,B13),"")</f>
        <v/>
      </c>
    </row>
    <row r="95" spans="1:2" ht="13.9" hidden="1" x14ac:dyDescent="0.4">
      <c r="A95" t="s">
        <v>392</v>
      </c>
      <c r="B95" t="str">
        <f>IF($C$60&gt;=18,IF($C$60=18,B13+$C$37*$C$61,B13),"")</f>
        <v/>
      </c>
    </row>
    <row r="96" spans="1:2" ht="13.9" hidden="1" x14ac:dyDescent="0.4">
      <c r="A96" t="s">
        <v>391</v>
      </c>
      <c r="B96" t="str">
        <f>IF($C$60&gt;=19,IF($C$60=19,B13+$C$37*$C$61,B13),"")</f>
        <v/>
      </c>
    </row>
    <row r="97" spans="1:2" ht="13.9" hidden="1" x14ac:dyDescent="0.4">
      <c r="A97" t="s">
        <v>390</v>
      </c>
      <c r="B97" t="str">
        <f>IF($C$60&gt;=20,IF($C$60=20,B13+$C$37*$C$61,B13),"")</f>
        <v/>
      </c>
    </row>
    <row r="98" spans="1:2" ht="13.9" hidden="1" x14ac:dyDescent="0.4">
      <c r="A98" t="s">
        <v>389</v>
      </c>
      <c r="B98" t="str">
        <f>IF($C$60&gt;=21,IF($C$60=21,B13+$C$37*$C$61,B13),"")</f>
        <v/>
      </c>
    </row>
    <row r="99" spans="1:2" ht="13.9" hidden="1" x14ac:dyDescent="0.4">
      <c r="A99" t="s">
        <v>388</v>
      </c>
      <c r="B99" t="str">
        <f>IF($C$60&gt;=22,IF($C$60=22,B13+$C$37*$C$61,B13),"")</f>
        <v/>
      </c>
    </row>
    <row r="100" spans="1:2" ht="13.9" hidden="1" x14ac:dyDescent="0.4">
      <c r="A100" t="s">
        <v>387</v>
      </c>
      <c r="B100" t="str">
        <f>IF($C$60&gt;=23,IF($C$60=23,B13+$C$37*$C$61,B13),"")</f>
        <v/>
      </c>
    </row>
    <row r="101" spans="1:2" ht="13.9" hidden="1" x14ac:dyDescent="0.4">
      <c r="A101" t="s">
        <v>386</v>
      </c>
      <c r="B101" t="str">
        <f>IF($C$60&gt;=24,IF($C$60=24,B13+$C$37*$C$61,B13),"")</f>
        <v/>
      </c>
    </row>
    <row r="102" spans="1:2" ht="13.9" hidden="1" x14ac:dyDescent="0.4">
      <c r="A102" t="s">
        <v>385</v>
      </c>
      <c r="B102" t="str">
        <f>IF($C$60&gt;=25,IF($C$60=25,B13+$C$37*$C$61,B13),"")</f>
        <v/>
      </c>
    </row>
    <row r="103" spans="1:2" ht="13.9" hidden="1" x14ac:dyDescent="0.4">
      <c r="A103" t="s">
        <v>384</v>
      </c>
      <c r="B103" t="str">
        <f>IF($C$60&gt;=26,IF($C$60=26,B13+$C$37*$C$61,B13),"")</f>
        <v/>
      </c>
    </row>
    <row r="104" spans="1:2" ht="13.9" hidden="1" x14ac:dyDescent="0.4">
      <c r="A104" t="s">
        <v>383</v>
      </c>
      <c r="B104" t="str">
        <f>IF($C$60&gt;=27,IF($C$60=27,B13+$C$37*$C$61,B13),"")</f>
        <v/>
      </c>
    </row>
    <row r="105" spans="1:2" ht="13.9" hidden="1" x14ac:dyDescent="0.4">
      <c r="A105" t="s">
        <v>382</v>
      </c>
      <c r="B105" t="str">
        <f>IF($C$60&gt;=28,IF($C$60=28,B13+$C$37*$C$61,B13),"")</f>
        <v/>
      </c>
    </row>
    <row r="106" spans="1:2" ht="13.9" hidden="1" x14ac:dyDescent="0.4">
      <c r="A106" t="s">
        <v>381</v>
      </c>
      <c r="B106" t="str">
        <f>IF($C$60&gt;=29,IF($C$60=29,B13+$C$37*$C$61,B13),"")</f>
        <v/>
      </c>
    </row>
    <row r="107" spans="1:2" ht="13.9" hidden="1" x14ac:dyDescent="0.4">
      <c r="A107" t="s">
        <v>380</v>
      </c>
      <c r="B107" t="str">
        <f>IF($C$60&gt;=30,IF($C$60=30,B13+$C$37*$C$61,B13),"")</f>
        <v/>
      </c>
    </row>
    <row r="108" spans="1:2" ht="13.9" hidden="1" x14ac:dyDescent="0.4">
      <c r="A108" t="s">
        <v>379</v>
      </c>
      <c r="B108" t="str">
        <f>IF($C$60&gt;=31,IF($C$60=31,B13+$C$37*$C$61,B13),"")</f>
        <v/>
      </c>
    </row>
    <row r="109" spans="1:2" ht="13.9" hidden="1" x14ac:dyDescent="0.4">
      <c r="A109" t="s">
        <v>378</v>
      </c>
      <c r="B109" t="str">
        <f>IF($C$60&gt;=32,IF($C$60=32,B13+$C$37*$C$61,B13),"")</f>
        <v/>
      </c>
    </row>
    <row r="110" spans="1:2" ht="13.9" hidden="1" x14ac:dyDescent="0.4">
      <c r="A110" t="s">
        <v>377</v>
      </c>
      <c r="B110" t="str">
        <f>IF($C$60&gt;=33,IF($C$60=33,B13+$C$37*$C$61,B13),"")</f>
        <v/>
      </c>
    </row>
    <row r="111" spans="1:2" ht="13.9" hidden="1" x14ac:dyDescent="0.4">
      <c r="A111" t="s">
        <v>376</v>
      </c>
      <c r="B111" t="str">
        <f>IF($C$60&gt;=34,IF($C$60=34,B13+$C$37*$C$61,B13),"")</f>
        <v/>
      </c>
    </row>
    <row r="112" spans="1:2" ht="13.9" hidden="1" x14ac:dyDescent="0.4">
      <c r="A112" t="s">
        <v>375</v>
      </c>
      <c r="B112" t="str">
        <f>IF($C$60&gt;=35,IF($C$60=35,B13+$C$37*$C$61,B13),"")</f>
        <v/>
      </c>
    </row>
    <row r="113" spans="1:2" ht="13.9" hidden="1" x14ac:dyDescent="0.4">
      <c r="A113" t="s">
        <v>374</v>
      </c>
      <c r="B113" t="str">
        <f>IF($C$60&gt;=36,IF($C$60=36,B13+$C$37*$C$61,B13),"")</f>
        <v/>
      </c>
    </row>
    <row r="114" spans="1:2" ht="13.9" hidden="1" x14ac:dyDescent="0.4">
      <c r="A114" t="s">
        <v>373</v>
      </c>
      <c r="B114" t="str">
        <f>IF($C$60&gt;=37,IF($C$60=37,B13+$C$37*$C$61,B13),"")</f>
        <v/>
      </c>
    </row>
    <row r="115" spans="1:2" ht="13.9" hidden="1" x14ac:dyDescent="0.4">
      <c r="A115" t="s">
        <v>372</v>
      </c>
      <c r="B115" t="str">
        <f>IF($C$60&gt;=38,IF($C$60=38,B13+$C$37*$C$61,B13),"")</f>
        <v/>
      </c>
    </row>
    <row r="116" spans="1:2" ht="13.9" hidden="1" x14ac:dyDescent="0.4">
      <c r="A116" t="s">
        <v>371</v>
      </c>
      <c r="B116" t="str">
        <f>IF($C$60&gt;=39,IF($C$60=39,B13+$C$37*$C$61,B13),"")</f>
        <v/>
      </c>
    </row>
    <row r="117" spans="1:2" ht="13.9" hidden="1" x14ac:dyDescent="0.4">
      <c r="A117" t="s">
        <v>370</v>
      </c>
      <c r="B117" t="str">
        <f>IF($C$60&gt;=40,IF($C$60=40,B13+$C$37*$C$61,B13),"")</f>
        <v/>
      </c>
    </row>
    <row r="119" spans="1:2" ht="13.9" hidden="1" x14ac:dyDescent="0.4">
      <c r="A119" t="s">
        <v>241</v>
      </c>
    </row>
    <row r="120" spans="1:2" ht="13.9" hidden="1" x14ac:dyDescent="0.4">
      <c r="A120" t="s">
        <v>232</v>
      </c>
      <c r="B120">
        <f>-$C$37</f>
        <v>-1484</v>
      </c>
    </row>
    <row r="121" spans="1:2" ht="13.9" hidden="1" x14ac:dyDescent="0.4">
      <c r="A121" t="s">
        <v>231</v>
      </c>
      <c r="B121">
        <f>IF($C$60&gt;=1,IF($C$60=1,C13+$C$37*$C$61,C13),"")</f>
        <v>224.71</v>
      </c>
    </row>
    <row r="122" spans="1:2" ht="13.9" hidden="1" x14ac:dyDescent="0.4">
      <c r="A122" t="s">
        <v>230</v>
      </c>
      <c r="B122">
        <f>IF($C$60&gt;=2,IF($C$60=2,C13+$C$37*$C$61,C13),"")</f>
        <v>224.71</v>
      </c>
    </row>
    <row r="123" spans="1:2" ht="13.9" hidden="1" x14ac:dyDescent="0.4">
      <c r="A123" t="s">
        <v>229</v>
      </c>
      <c r="B123">
        <f>IF($C$60&gt;=3,IF($C$60=3,C13+$C$37*$C$61,C13),"")</f>
        <v>224.71</v>
      </c>
    </row>
    <row r="124" spans="1:2" ht="13.9" hidden="1" x14ac:dyDescent="0.4">
      <c r="A124" t="s">
        <v>228</v>
      </c>
      <c r="B124">
        <f>IF($C$60&gt;=4,IF($C$60=4,C13+$C$37*$C$61,C13),"")</f>
        <v>224.71</v>
      </c>
    </row>
    <row r="125" spans="1:2" ht="13.9" hidden="1" x14ac:dyDescent="0.4">
      <c r="A125" t="s">
        <v>227</v>
      </c>
      <c r="B125">
        <f>IF($C$60&gt;=5,IF($C$60=5,C13+$C$37*$C$61,C13),"")</f>
        <v>224.71</v>
      </c>
    </row>
    <row r="126" spans="1:2" ht="13.9" hidden="1" x14ac:dyDescent="0.4">
      <c r="A126" t="s">
        <v>226</v>
      </c>
      <c r="B126">
        <f>IF($C$60&gt;=6,IF($C$60=6,C13+$C$37*$C$61,C13),"")</f>
        <v>224.71</v>
      </c>
    </row>
    <row r="127" spans="1:2" ht="13.9" hidden="1" x14ac:dyDescent="0.4">
      <c r="A127" t="s">
        <v>225</v>
      </c>
      <c r="B127">
        <f>IF($C$60&gt;=7,IF($C$60=7,C13+$C$37*$C$61,C13),"")</f>
        <v>224.71</v>
      </c>
    </row>
    <row r="128" spans="1:2" ht="13.9" hidden="1" x14ac:dyDescent="0.4">
      <c r="A128" t="s">
        <v>224</v>
      </c>
      <c r="B128">
        <f>IF($C$60&gt;=8,IF($C$60=8,C13+$C$37*$C$61,C13),"")</f>
        <v>224.71</v>
      </c>
    </row>
    <row r="129" spans="1:2" ht="13.9" hidden="1" x14ac:dyDescent="0.4">
      <c r="A129" t="s">
        <v>223</v>
      </c>
      <c r="B129">
        <f>IF($C$60&gt;=9,IF($C$60=9,C13+$C$37*$C$61,C13),"")</f>
        <v>224.71</v>
      </c>
    </row>
    <row r="130" spans="1:2" ht="13.9" hidden="1" x14ac:dyDescent="0.4">
      <c r="A130" t="s">
        <v>222</v>
      </c>
      <c r="B130">
        <f>IF($C$60&gt;=10,IF($C$60=10,C13+$C$37*$C$61,C13),"")</f>
        <v>224.71</v>
      </c>
    </row>
    <row r="131" spans="1:2" ht="13.9" hidden="1" x14ac:dyDescent="0.4">
      <c r="A131" t="s">
        <v>221</v>
      </c>
      <c r="B131">
        <f>IF($C$60&gt;=11,IF($C$60=11,C13+$C$37*$C$61,C13),"")</f>
        <v>224.71</v>
      </c>
    </row>
    <row r="132" spans="1:2" ht="13.9" hidden="1" x14ac:dyDescent="0.4">
      <c r="A132" t="s">
        <v>220</v>
      </c>
      <c r="B132">
        <f>IF($C$60&gt;=12,IF($C$60=12,C13+$C$37*$C$61,C13),"")</f>
        <v>224.71</v>
      </c>
    </row>
    <row r="133" spans="1:2" ht="13.9" hidden="1" x14ac:dyDescent="0.4">
      <c r="A133" t="s">
        <v>219</v>
      </c>
      <c r="B133">
        <f>IF($C$60&gt;=13,IF($C$60=13,C13+$C$37*$C$61,C13),"")</f>
        <v>224.71</v>
      </c>
    </row>
    <row r="134" spans="1:2" ht="13.9" hidden="1" x14ac:dyDescent="0.4">
      <c r="A134" t="s">
        <v>218</v>
      </c>
      <c r="B134">
        <f>IF($C$60&gt;=14,IF($C$60=14,C13+$C$37*$C$61,C13),"")</f>
        <v>224.71</v>
      </c>
    </row>
    <row r="135" spans="1:2" ht="13.9" hidden="1" x14ac:dyDescent="0.4">
      <c r="A135" t="s">
        <v>217</v>
      </c>
      <c r="B135">
        <f>IF($C$60&gt;=15,IF($C$60=15,C13+$C$37*$C$61,C13),"")</f>
        <v>373.11</v>
      </c>
    </row>
    <row r="136" spans="1:2" ht="13.9" hidden="1" x14ac:dyDescent="0.4">
      <c r="A136" t="s">
        <v>394</v>
      </c>
      <c r="B136" t="str">
        <f>IF($C$60&gt;=16,IF($C$60=16,C13+$C$37*$C$61,C13),"")</f>
        <v/>
      </c>
    </row>
    <row r="137" spans="1:2" ht="13.9" hidden="1" x14ac:dyDescent="0.4">
      <c r="A137" t="s">
        <v>393</v>
      </c>
      <c r="B137" t="str">
        <f>IF($C$60&gt;=17,IF($C$60=17,C13+$C$37*$C$61,C13),"")</f>
        <v/>
      </c>
    </row>
    <row r="138" spans="1:2" ht="13.9" hidden="1" x14ac:dyDescent="0.4">
      <c r="A138" t="s">
        <v>392</v>
      </c>
      <c r="B138" t="str">
        <f>IF($C$60&gt;=18,IF($C$60=18,C13+$C$37*$C$61,C13),"")</f>
        <v/>
      </c>
    </row>
    <row r="139" spans="1:2" ht="13.9" hidden="1" x14ac:dyDescent="0.4">
      <c r="A139" t="s">
        <v>391</v>
      </c>
      <c r="B139" t="str">
        <f>IF($C$60&gt;=19,IF($C$60=19,C13+$C$37*$C$61,C13),"")</f>
        <v/>
      </c>
    </row>
    <row r="140" spans="1:2" ht="13.9" hidden="1" x14ac:dyDescent="0.4">
      <c r="A140" t="s">
        <v>390</v>
      </c>
      <c r="B140" t="str">
        <f>IF($C$60&gt;=20,IF($C$60=20,C13+$C$37*$C$61,C13),"")</f>
        <v/>
      </c>
    </row>
    <row r="141" spans="1:2" ht="13.9" hidden="1" x14ac:dyDescent="0.4">
      <c r="A141" t="s">
        <v>389</v>
      </c>
      <c r="B141" t="str">
        <f>IF($C$60&gt;=21,IF($C$60=21,C13+$C$37*$C$61,C13),"")</f>
        <v/>
      </c>
    </row>
    <row r="142" spans="1:2" ht="13.9" hidden="1" x14ac:dyDescent="0.4">
      <c r="A142" t="s">
        <v>388</v>
      </c>
      <c r="B142" t="str">
        <f>IF($C$60&gt;=22,IF($C$60=22,C13+$C$37*$C$61,C13),"")</f>
        <v/>
      </c>
    </row>
    <row r="143" spans="1:2" ht="13.9" hidden="1" x14ac:dyDescent="0.4">
      <c r="A143" t="s">
        <v>387</v>
      </c>
      <c r="B143" t="str">
        <f>IF($C$60&gt;=23,IF($C$60=23,C13+$C$37*$C$61,C13),"")</f>
        <v/>
      </c>
    </row>
    <row r="144" spans="1:2" ht="13.9" hidden="1" x14ac:dyDescent="0.4">
      <c r="A144" t="s">
        <v>386</v>
      </c>
      <c r="B144" t="str">
        <f>IF($C$60&gt;=24,IF($C$60=24,C13+$C$37*$C$61,C13),"")</f>
        <v/>
      </c>
    </row>
    <row r="145" spans="1:2" ht="13.9" hidden="1" x14ac:dyDescent="0.4">
      <c r="A145" t="s">
        <v>385</v>
      </c>
      <c r="B145" t="str">
        <f>IF($C$60&gt;=25,IF($C$60=25,C13+$C$37*$C$61,C13),"")</f>
        <v/>
      </c>
    </row>
    <row r="146" spans="1:2" ht="13.9" hidden="1" x14ac:dyDescent="0.4">
      <c r="A146" t="s">
        <v>384</v>
      </c>
      <c r="B146" t="str">
        <f>IF($C$60&gt;=26,IF($C$60=26,C13+$C$37*$C$61,C13),"")</f>
        <v/>
      </c>
    </row>
    <row r="147" spans="1:2" ht="13.9" hidden="1" x14ac:dyDescent="0.4">
      <c r="A147" t="s">
        <v>383</v>
      </c>
      <c r="B147" t="str">
        <f>IF($C$60&gt;=27,IF($C$60=27,C13+$C$37*$C$61,C13),"")</f>
        <v/>
      </c>
    </row>
    <row r="148" spans="1:2" ht="13.9" hidden="1" x14ac:dyDescent="0.4">
      <c r="A148" t="s">
        <v>382</v>
      </c>
      <c r="B148" t="str">
        <f>IF($C$60&gt;=28,IF($C$60=28,C13+$C$37*$C$61,C13),"")</f>
        <v/>
      </c>
    </row>
    <row r="149" spans="1:2" ht="13.9" hidden="1" x14ac:dyDescent="0.4">
      <c r="A149" t="s">
        <v>381</v>
      </c>
      <c r="B149" t="str">
        <f>IF($C$60&gt;=29,IF($C$60=29,C13+$C$37*$C$61,C13),"")</f>
        <v/>
      </c>
    </row>
    <row r="150" spans="1:2" ht="13.9" hidden="1" x14ac:dyDescent="0.4">
      <c r="A150" t="s">
        <v>380</v>
      </c>
      <c r="B150" t="str">
        <f>IF($C$60&gt;=30,IF($C$60=30,C13+$C$37*$C$61,C13),"")</f>
        <v/>
      </c>
    </row>
    <row r="151" spans="1:2" ht="13.9" hidden="1" x14ac:dyDescent="0.4">
      <c r="A151" t="s">
        <v>379</v>
      </c>
      <c r="B151" t="str">
        <f>IF($C$60&gt;=31,IF($C$60=31,C13+$C$37*$C$61,C13),"")</f>
        <v/>
      </c>
    </row>
    <row r="152" spans="1:2" ht="13.9" hidden="1" x14ac:dyDescent="0.4">
      <c r="A152" t="s">
        <v>378</v>
      </c>
      <c r="B152" t="str">
        <f>IF($C$60&gt;=32,IF($C$60=32,C13+$C$37*$C$61,C13),"")</f>
        <v/>
      </c>
    </row>
    <row r="153" spans="1:2" ht="13.9" hidden="1" x14ac:dyDescent="0.4">
      <c r="A153" t="s">
        <v>377</v>
      </c>
      <c r="B153" t="str">
        <f>IF($C$60&gt;=33,IF($C$60=33,C13+$C$37*$C$61,C13),"")</f>
        <v/>
      </c>
    </row>
    <row r="154" spans="1:2" ht="13.9" hidden="1" x14ac:dyDescent="0.4">
      <c r="A154" t="s">
        <v>376</v>
      </c>
      <c r="B154" t="str">
        <f>IF($C$60&gt;=34,IF($C$60=34,C13+$C$37*$C$61,C13),"")</f>
        <v/>
      </c>
    </row>
    <row r="155" spans="1:2" ht="13.9" hidden="1" x14ac:dyDescent="0.4">
      <c r="A155" t="s">
        <v>375</v>
      </c>
      <c r="B155" t="str">
        <f>IF($C$60&gt;=35,IF($C$60=35,C13+$C$37*$C$61,C13),"")</f>
        <v/>
      </c>
    </row>
    <row r="156" spans="1:2" ht="13.9" hidden="1" x14ac:dyDescent="0.4">
      <c r="A156" t="s">
        <v>374</v>
      </c>
      <c r="B156" t="str">
        <f>IF($C$60&gt;=36,IF($C$60=36,C13+$C$37*$C$61,C13),"")</f>
        <v/>
      </c>
    </row>
    <row r="157" spans="1:2" ht="13.9" hidden="1" x14ac:dyDescent="0.4">
      <c r="A157" t="s">
        <v>373</v>
      </c>
      <c r="B157" t="str">
        <f>IF($C$60&gt;=37,IF($C$60=37,C13+$C$37*$C$61,C13),"")</f>
        <v/>
      </c>
    </row>
    <row r="158" spans="1:2" ht="13.9" hidden="1" x14ac:dyDescent="0.4">
      <c r="A158" t="s">
        <v>372</v>
      </c>
      <c r="B158" t="str">
        <f>IF($C$60&gt;=38,IF($C$60=38,C13+$C$37*$C$61,C13),"")</f>
        <v/>
      </c>
    </row>
    <row r="159" spans="1:2" ht="13.9" hidden="1" x14ac:dyDescent="0.4">
      <c r="A159" t="s">
        <v>371</v>
      </c>
      <c r="B159" t="str">
        <f>IF($C$60&gt;=39,IF($C$60=39,C13+$C$37*$C$61,C13),"")</f>
        <v/>
      </c>
    </row>
    <row r="160" spans="1:2" ht="13.9" hidden="1" x14ac:dyDescent="0.4">
      <c r="A160" t="s">
        <v>370</v>
      </c>
      <c r="B160" t="str">
        <f>IF($C$60&gt;=40,IF($C$60=40,C13+$C$37*$C$61,C13),"")</f>
        <v/>
      </c>
    </row>
    <row r="162" spans="1:2" ht="13.9" hidden="1" x14ac:dyDescent="0.4">
      <c r="A162" t="s">
        <v>240</v>
      </c>
    </row>
    <row r="163" spans="1:2" ht="13.9" hidden="1" x14ac:dyDescent="0.4">
      <c r="A163" t="s">
        <v>232</v>
      </c>
      <c r="B163">
        <f>-$C$37</f>
        <v>-1484</v>
      </c>
    </row>
    <row r="164" spans="1:2" ht="13.9" hidden="1" x14ac:dyDescent="0.4">
      <c r="A164" t="s">
        <v>231</v>
      </c>
      <c r="B164">
        <f>IF($C$60&gt;=1,IF($C$60=1,D13+$C$37*$C$61,D13),"")</f>
        <v>291.44</v>
      </c>
    </row>
    <row r="165" spans="1:2" ht="13.9" hidden="1" x14ac:dyDescent="0.4">
      <c r="A165" t="s">
        <v>230</v>
      </c>
      <c r="B165">
        <f>IF($C$60&gt;=2,IF($C$60=2,D13+$C$37*$C$61,D13),"")</f>
        <v>291.44</v>
      </c>
    </row>
    <row r="166" spans="1:2" ht="13.9" hidden="1" x14ac:dyDescent="0.4">
      <c r="A166" t="s">
        <v>229</v>
      </c>
      <c r="B166">
        <f>IF($C$60&gt;=3,IF($C$60=3,D13+$C$37*$C$61,D13),"")</f>
        <v>291.44</v>
      </c>
    </row>
    <row r="167" spans="1:2" ht="13.9" hidden="1" x14ac:dyDescent="0.4">
      <c r="A167" t="s">
        <v>228</v>
      </c>
      <c r="B167">
        <f>IF($C$60&gt;=4,IF($C$60=4,D13+$C$37*$C$61,D13),"")</f>
        <v>291.44</v>
      </c>
    </row>
    <row r="168" spans="1:2" ht="13.9" hidden="1" x14ac:dyDescent="0.4">
      <c r="A168" t="s">
        <v>227</v>
      </c>
      <c r="B168">
        <f>IF($C$60&gt;=5,IF($C$60=5,D13+$C$37*$C$61,D13),"")</f>
        <v>291.44</v>
      </c>
    </row>
    <row r="169" spans="1:2" ht="13.9" hidden="1" x14ac:dyDescent="0.4">
      <c r="A169" t="s">
        <v>226</v>
      </c>
      <c r="B169">
        <f>IF($C$60&gt;=6,IF($C$60=6,D13+$C$37*$C$61,D13),"")</f>
        <v>291.44</v>
      </c>
    </row>
    <row r="170" spans="1:2" ht="13.9" hidden="1" x14ac:dyDescent="0.4">
      <c r="A170" t="s">
        <v>225</v>
      </c>
      <c r="B170">
        <f>IF($C$60&gt;=7,IF($C$60=7,D13+$C$37*$C$61,D13),"")</f>
        <v>291.44</v>
      </c>
    </row>
    <row r="171" spans="1:2" ht="13.9" hidden="1" x14ac:dyDescent="0.4">
      <c r="A171" t="s">
        <v>224</v>
      </c>
      <c r="B171">
        <f>IF($C$60&gt;=8,IF($C$60=8,D13+$C$37*$C$61,D13),"")</f>
        <v>291.44</v>
      </c>
    </row>
    <row r="172" spans="1:2" ht="13.9" hidden="1" x14ac:dyDescent="0.4">
      <c r="A172" t="s">
        <v>223</v>
      </c>
      <c r="B172">
        <f>IF($C$60&gt;=9,IF($C$60=9,D13+$C$37*$C$61,D13),"")</f>
        <v>291.44</v>
      </c>
    </row>
    <row r="173" spans="1:2" ht="13.9" hidden="1" x14ac:dyDescent="0.4">
      <c r="A173" t="s">
        <v>222</v>
      </c>
      <c r="B173">
        <f>IF($C$60&gt;=10,IF($C$60=10,D13+$C$37*$C$61,D13),"")</f>
        <v>291.44</v>
      </c>
    </row>
    <row r="174" spans="1:2" ht="13.9" hidden="1" x14ac:dyDescent="0.4">
      <c r="A174" t="s">
        <v>221</v>
      </c>
      <c r="B174">
        <f>IF($C$60&gt;=11,IF($C$60=11,D13+$C$37*$C$61,D13),"")</f>
        <v>291.44</v>
      </c>
    </row>
    <row r="175" spans="1:2" ht="13.9" hidden="1" x14ac:dyDescent="0.4">
      <c r="A175" t="s">
        <v>220</v>
      </c>
      <c r="B175">
        <f>IF($C$60&gt;=12,IF($C$60=12,D13+$C$37*$C$61,D13),"")</f>
        <v>291.44</v>
      </c>
    </row>
    <row r="176" spans="1:2" ht="13.9" hidden="1" x14ac:dyDescent="0.4">
      <c r="A176" t="s">
        <v>219</v>
      </c>
      <c r="B176">
        <f>IF($C$60&gt;=13,IF($C$60=13,D13+$C$37*$C$61,D13),"")</f>
        <v>291.44</v>
      </c>
    </row>
    <row r="177" spans="1:2" ht="13.9" hidden="1" x14ac:dyDescent="0.4">
      <c r="A177" t="s">
        <v>218</v>
      </c>
      <c r="B177">
        <f>IF($C$60&gt;=14,IF($C$60=14,D13+$C$37*$C$61,D13),"")</f>
        <v>291.44</v>
      </c>
    </row>
    <row r="178" spans="1:2" ht="13.9" hidden="1" x14ac:dyDescent="0.4">
      <c r="A178" t="s">
        <v>217</v>
      </c>
      <c r="B178">
        <f>IF($C$60&gt;=15,IF($C$60=15,D13+$C$37*$C$61,D13),"")</f>
        <v>439.84000000000003</v>
      </c>
    </row>
    <row r="179" spans="1:2" ht="13.9" hidden="1" x14ac:dyDescent="0.4">
      <c r="A179" t="s">
        <v>394</v>
      </c>
      <c r="B179" t="str">
        <f>IF($C$60&gt;=16,IF($C$60=16,D13+$C$37*$C$61,D13),"")</f>
        <v/>
      </c>
    </row>
    <row r="180" spans="1:2" ht="13.9" hidden="1" x14ac:dyDescent="0.4">
      <c r="A180" t="s">
        <v>393</v>
      </c>
      <c r="B180" t="str">
        <f>IF($C$60&gt;=17,IF($C$60=17,D13+$C$37*$C$61,D13),"")</f>
        <v/>
      </c>
    </row>
    <row r="181" spans="1:2" ht="13.9" hidden="1" x14ac:dyDescent="0.4">
      <c r="A181" t="s">
        <v>392</v>
      </c>
      <c r="B181" t="str">
        <f>IF($C$60&gt;=18,IF($C$60=18,D13+$C$37*$C$61,D13),"")</f>
        <v/>
      </c>
    </row>
    <row r="182" spans="1:2" ht="13.9" hidden="1" x14ac:dyDescent="0.4">
      <c r="A182" t="s">
        <v>391</v>
      </c>
      <c r="B182" t="str">
        <f>IF($C$60&gt;=19,IF($C$60=19,D13+$C$37*$C$61,D13),"")</f>
        <v/>
      </c>
    </row>
    <row r="183" spans="1:2" ht="13.9" hidden="1" x14ac:dyDescent="0.4">
      <c r="A183" t="s">
        <v>390</v>
      </c>
      <c r="B183" t="str">
        <f>IF($C$60&gt;=20,IF($C$60=20,D13+$C$37*$C$61,D13),"")</f>
        <v/>
      </c>
    </row>
    <row r="184" spans="1:2" ht="13.9" hidden="1" x14ac:dyDescent="0.4">
      <c r="A184" t="s">
        <v>389</v>
      </c>
      <c r="B184" t="str">
        <f>IF($C$60&gt;=21,IF($C$60=21,D13+$C$37*$C$61,D13),"")</f>
        <v/>
      </c>
    </row>
    <row r="185" spans="1:2" ht="13.9" hidden="1" x14ac:dyDescent="0.4">
      <c r="A185" t="s">
        <v>388</v>
      </c>
      <c r="B185" t="str">
        <f>IF($C$60&gt;=22,IF($C$60=22,D13+$C$37*$C$61,D13),"")</f>
        <v/>
      </c>
    </row>
    <row r="186" spans="1:2" ht="13.9" hidden="1" x14ac:dyDescent="0.4">
      <c r="A186" t="s">
        <v>387</v>
      </c>
      <c r="B186" t="str">
        <f>IF($C$60&gt;=23,IF($C$60=23,D13+$C$37*$C$61,D13),"")</f>
        <v/>
      </c>
    </row>
    <row r="187" spans="1:2" ht="13.9" hidden="1" x14ac:dyDescent="0.4">
      <c r="A187" t="s">
        <v>386</v>
      </c>
      <c r="B187" t="str">
        <f>IF($C$60&gt;=24,IF($C$60=24,D13+$C$37*$C$61,D13),"")</f>
        <v/>
      </c>
    </row>
    <row r="188" spans="1:2" ht="13.9" hidden="1" x14ac:dyDescent="0.4">
      <c r="A188" t="s">
        <v>385</v>
      </c>
      <c r="B188" t="str">
        <f>IF($C$60&gt;=25,IF($C$60=25,D13+$C$37*$C$61,D13),"")</f>
        <v/>
      </c>
    </row>
    <row r="189" spans="1:2" ht="13.9" hidden="1" x14ac:dyDescent="0.4">
      <c r="A189" t="s">
        <v>384</v>
      </c>
      <c r="B189" t="str">
        <f>IF($C$60&gt;=26,IF($C$60=26,D13+$C$37*$C$61,D13),"")</f>
        <v/>
      </c>
    </row>
    <row r="190" spans="1:2" ht="13.9" hidden="1" x14ac:dyDescent="0.4">
      <c r="A190" t="s">
        <v>383</v>
      </c>
      <c r="B190" t="str">
        <f>IF($C$60&gt;=27,IF($C$60=27,D13+$C$37*$C$61,D13),"")</f>
        <v/>
      </c>
    </row>
    <row r="191" spans="1:2" ht="13.9" hidden="1" x14ac:dyDescent="0.4">
      <c r="A191" t="s">
        <v>382</v>
      </c>
      <c r="B191" t="str">
        <f>IF($C$60&gt;=28,IF($C$60=28,D13+$C$37*$C$61,D13),"")</f>
        <v/>
      </c>
    </row>
    <row r="192" spans="1:2" ht="13.9" hidden="1" x14ac:dyDescent="0.4">
      <c r="A192" t="s">
        <v>381</v>
      </c>
      <c r="B192" t="str">
        <f>IF($C$60&gt;=29,IF($C$60=29,D13+$C$37*$C$61,D13),"")</f>
        <v/>
      </c>
    </row>
    <row r="193" spans="1:2" ht="13.9" hidden="1" x14ac:dyDescent="0.4">
      <c r="A193" t="s">
        <v>380</v>
      </c>
      <c r="B193" t="str">
        <f>IF($C$60&gt;=30,IF($C$60=30,D13+$C$37*$C$61,D13),"")</f>
        <v/>
      </c>
    </row>
    <row r="194" spans="1:2" ht="13.9" hidden="1" x14ac:dyDescent="0.4">
      <c r="A194" t="s">
        <v>379</v>
      </c>
      <c r="B194" t="str">
        <f>IF($C$60&gt;=31,IF($C$60=31,D13+$C$37*$C$61,D13),"")</f>
        <v/>
      </c>
    </row>
    <row r="195" spans="1:2" ht="13.9" hidden="1" x14ac:dyDescent="0.4">
      <c r="A195" t="s">
        <v>378</v>
      </c>
      <c r="B195" t="str">
        <f>IF($C$60&gt;=32,IF($C$60=32,D13+$C$37*$C$61,D13),"")</f>
        <v/>
      </c>
    </row>
    <row r="196" spans="1:2" ht="13.9" hidden="1" x14ac:dyDescent="0.4">
      <c r="A196" t="s">
        <v>377</v>
      </c>
      <c r="B196" t="str">
        <f>IF($C$60&gt;=33,IF($C$60=33,D13+$C$37*$C$61,D13),"")</f>
        <v/>
      </c>
    </row>
    <row r="197" spans="1:2" ht="13.9" hidden="1" x14ac:dyDescent="0.4">
      <c r="A197" t="s">
        <v>376</v>
      </c>
      <c r="B197" t="str">
        <f>IF($C$60&gt;=34,IF($C$60=34,D13+$C$37*$C$61,D13),"")</f>
        <v/>
      </c>
    </row>
    <row r="198" spans="1:2" ht="13.9" hidden="1" x14ac:dyDescent="0.4">
      <c r="A198" t="s">
        <v>375</v>
      </c>
      <c r="B198" t="str">
        <f>IF($C$60&gt;=35,IF($C$60=35,D13+$C$37*$C$61,D13),"")</f>
        <v/>
      </c>
    </row>
    <row r="199" spans="1:2" ht="13.9" hidden="1" x14ac:dyDescent="0.4">
      <c r="A199" t="s">
        <v>374</v>
      </c>
      <c r="B199" t="str">
        <f>IF($C$60&gt;=36,IF($C$60=36,D13+$C$37*$C$61,D13),"")</f>
        <v/>
      </c>
    </row>
    <row r="200" spans="1:2" ht="13.9" hidden="1" x14ac:dyDescent="0.4">
      <c r="A200" t="s">
        <v>373</v>
      </c>
      <c r="B200" t="str">
        <f>IF($C$60&gt;=37,IF($C$60=37,D13+$C$37*$C$61,D13),"")</f>
        <v/>
      </c>
    </row>
    <row r="201" spans="1:2" ht="13.9" hidden="1" x14ac:dyDescent="0.4">
      <c r="A201" t="s">
        <v>372</v>
      </c>
      <c r="B201" t="str">
        <f>IF($C$60&gt;=38,IF($C$60=38,D13+$C$37*$C$61,D13),"")</f>
        <v/>
      </c>
    </row>
    <row r="202" spans="1:2" ht="13.9" hidden="1" x14ac:dyDescent="0.4">
      <c r="A202" t="s">
        <v>371</v>
      </c>
      <c r="B202" t="str">
        <f>IF($C$60&gt;=39,IF($C$60=39,D13+$C$37*$C$61,D13),"")</f>
        <v/>
      </c>
    </row>
    <row r="203" spans="1:2" ht="13.9" hidden="1" x14ac:dyDescent="0.4">
      <c r="A203" t="s">
        <v>370</v>
      </c>
      <c r="B203" t="str">
        <f>IF($C$60&gt;=40,IF($C$60=40,D13+$C$37*$C$61,D13),"")</f>
        <v/>
      </c>
    </row>
    <row r="205" spans="1:2" ht="13.9" hidden="1" x14ac:dyDescent="0.4">
      <c r="A205" t="s">
        <v>239</v>
      </c>
    </row>
    <row r="206" spans="1:2" ht="13.9" hidden="1" x14ac:dyDescent="0.4">
      <c r="A206" t="s">
        <v>232</v>
      </c>
      <c r="B206">
        <f>-$C$37</f>
        <v>-1484</v>
      </c>
    </row>
    <row r="207" spans="1:2" ht="13.9" hidden="1" x14ac:dyDescent="0.4">
      <c r="A207" t="s">
        <v>231</v>
      </c>
      <c r="B207">
        <f>IF($C$60&gt;=1,IF($C$60=1,E13+$C$37*$C$61,E13),"")</f>
        <v>358.19</v>
      </c>
    </row>
    <row r="208" spans="1:2" ht="13.9" hidden="1" x14ac:dyDescent="0.4">
      <c r="A208" t="s">
        <v>230</v>
      </c>
      <c r="B208">
        <f>IF($C$60&gt;=2,IF($C$60=2,E13+$C$37*$C$61,E13),"")</f>
        <v>358.19</v>
      </c>
    </row>
    <row r="209" spans="1:2" ht="13.9" hidden="1" x14ac:dyDescent="0.4">
      <c r="A209" t="s">
        <v>229</v>
      </c>
      <c r="B209">
        <f>IF($C$60&gt;=3,IF($C$60=3,E13+$C$37*$C$61,E13),"")</f>
        <v>358.19</v>
      </c>
    </row>
    <row r="210" spans="1:2" ht="13.9" hidden="1" x14ac:dyDescent="0.4">
      <c r="A210" t="s">
        <v>228</v>
      </c>
      <c r="B210">
        <f>IF($C$60&gt;=4,IF($C$60=4,E13+$C$37*$C$61,E13),"")</f>
        <v>358.19</v>
      </c>
    </row>
    <row r="211" spans="1:2" ht="13.9" hidden="1" x14ac:dyDescent="0.4">
      <c r="A211" t="s">
        <v>227</v>
      </c>
      <c r="B211">
        <f>IF($C$60&gt;=5,IF($C$60=5,E13+$C$37*$C$61,E13),"")</f>
        <v>358.19</v>
      </c>
    </row>
    <row r="212" spans="1:2" ht="13.9" hidden="1" x14ac:dyDescent="0.4">
      <c r="A212" t="s">
        <v>226</v>
      </c>
      <c r="B212">
        <f>IF($C$60&gt;=6,IF($C$60=6,E13+$C$37*$C$61,E13),"")</f>
        <v>358.19</v>
      </c>
    </row>
    <row r="213" spans="1:2" ht="13.9" hidden="1" x14ac:dyDescent="0.4">
      <c r="A213" t="s">
        <v>225</v>
      </c>
      <c r="B213">
        <f>IF($C$60&gt;=7,IF($C$60=7,E13+$C$37*$C$61,E13),"")</f>
        <v>358.19</v>
      </c>
    </row>
    <row r="214" spans="1:2" ht="13.9" hidden="1" x14ac:dyDescent="0.4">
      <c r="A214" t="s">
        <v>224</v>
      </c>
      <c r="B214">
        <f>IF($C$60&gt;=8,IF($C$60=8,E13+$C$37*$C$61,E13),"")</f>
        <v>358.19</v>
      </c>
    </row>
    <row r="215" spans="1:2" ht="13.9" hidden="1" x14ac:dyDescent="0.4">
      <c r="A215" t="s">
        <v>223</v>
      </c>
      <c r="B215">
        <f>IF($C$60&gt;=9,IF($C$60=9,E13+$C$37*$C$61,E13),"")</f>
        <v>358.19</v>
      </c>
    </row>
    <row r="216" spans="1:2" ht="13.9" hidden="1" x14ac:dyDescent="0.4">
      <c r="A216" t="s">
        <v>222</v>
      </c>
      <c r="B216">
        <f>IF($C$60&gt;=10,IF($C$60=10,E13+$C$37*$C$61,E13),"")</f>
        <v>358.19</v>
      </c>
    </row>
    <row r="217" spans="1:2" ht="13.9" hidden="1" x14ac:dyDescent="0.4">
      <c r="A217" t="s">
        <v>221</v>
      </c>
      <c r="B217">
        <f>IF($C$60&gt;=11,IF($C$60=11,E13+$C$37*$C$61,E13),"")</f>
        <v>358.19</v>
      </c>
    </row>
    <row r="218" spans="1:2" ht="13.9" hidden="1" x14ac:dyDescent="0.4">
      <c r="A218" t="s">
        <v>220</v>
      </c>
      <c r="B218">
        <f>IF($C$60&gt;=12,IF($C$60=12,E13+$C$37*$C$61,E13),"")</f>
        <v>358.19</v>
      </c>
    </row>
    <row r="219" spans="1:2" ht="13.9" hidden="1" x14ac:dyDescent="0.4">
      <c r="A219" t="s">
        <v>219</v>
      </c>
      <c r="B219">
        <f>IF($C$60&gt;=13,IF($C$60=13,E13+$C$37*$C$61,E13),"")</f>
        <v>358.19</v>
      </c>
    </row>
    <row r="220" spans="1:2" ht="13.9" hidden="1" x14ac:dyDescent="0.4">
      <c r="A220" t="s">
        <v>218</v>
      </c>
      <c r="B220">
        <f>IF($C$60&gt;=14,IF($C$60=14,E13+$C$37*$C$61,E13),"")</f>
        <v>358.19</v>
      </c>
    </row>
    <row r="221" spans="1:2" ht="13.9" hidden="1" x14ac:dyDescent="0.4">
      <c r="A221" t="s">
        <v>217</v>
      </c>
      <c r="B221">
        <f>IF($C$60&gt;=15,IF($C$60=15,E13+$C$37*$C$61,E13),"")</f>
        <v>506.59000000000003</v>
      </c>
    </row>
    <row r="222" spans="1:2" ht="13.9" hidden="1" x14ac:dyDescent="0.4">
      <c r="A222" t="s">
        <v>394</v>
      </c>
      <c r="B222" t="str">
        <f>IF($C$60&gt;=16,IF($C$60=16,E13+$C$37*$C$61,E13),"")</f>
        <v/>
      </c>
    </row>
    <row r="223" spans="1:2" ht="13.9" hidden="1" x14ac:dyDescent="0.4">
      <c r="A223" t="s">
        <v>393</v>
      </c>
      <c r="B223" t="str">
        <f>IF($C$60&gt;=17,IF($C$60=17,E13+$C$37*$C$61,E13),"")</f>
        <v/>
      </c>
    </row>
    <row r="224" spans="1:2" ht="13.9" hidden="1" x14ac:dyDescent="0.4">
      <c r="A224" t="s">
        <v>392</v>
      </c>
      <c r="B224" t="str">
        <f>IF($C$60&gt;=18,IF($C$60=18,E13+$C$37*$C$61,E13),"")</f>
        <v/>
      </c>
    </row>
    <row r="225" spans="1:2" ht="13.9" hidden="1" x14ac:dyDescent="0.4">
      <c r="A225" t="s">
        <v>391</v>
      </c>
      <c r="B225" t="str">
        <f>IF($C$60&gt;=19,IF($C$60=19,E13+$C$37*$C$61,E13),"")</f>
        <v/>
      </c>
    </row>
    <row r="226" spans="1:2" ht="13.9" hidden="1" x14ac:dyDescent="0.4">
      <c r="A226" t="s">
        <v>390</v>
      </c>
      <c r="B226" t="str">
        <f>IF($C$60&gt;=20,IF($C$60=20,E13+$C$37*$C$61,E13),"")</f>
        <v/>
      </c>
    </row>
    <row r="227" spans="1:2" ht="13.9" hidden="1" x14ac:dyDescent="0.4">
      <c r="A227" t="s">
        <v>389</v>
      </c>
      <c r="B227" t="str">
        <f>IF($C$60&gt;=21,IF($C$60=21,E13+$C$37*$C$61,E13),"")</f>
        <v/>
      </c>
    </row>
    <row r="228" spans="1:2" ht="13.9" hidden="1" x14ac:dyDescent="0.4">
      <c r="A228" t="s">
        <v>388</v>
      </c>
      <c r="B228" t="str">
        <f>IF($C$60&gt;=22,IF($C$60=22,E13+$C$37*$C$61,E13),"")</f>
        <v/>
      </c>
    </row>
    <row r="229" spans="1:2" ht="13.9" hidden="1" x14ac:dyDescent="0.4">
      <c r="A229" t="s">
        <v>387</v>
      </c>
      <c r="B229" t="str">
        <f>IF($C$60&gt;=23,IF($C$60=23,E13+$C$37*$C$61,E13),"")</f>
        <v/>
      </c>
    </row>
    <row r="230" spans="1:2" ht="13.9" hidden="1" x14ac:dyDescent="0.4">
      <c r="A230" t="s">
        <v>386</v>
      </c>
      <c r="B230" t="str">
        <f>IF($C$60&gt;=24,IF($C$60=24,E13+$C$37*$C$61,E13),"")</f>
        <v/>
      </c>
    </row>
    <row r="231" spans="1:2" ht="13.9" hidden="1" x14ac:dyDescent="0.4">
      <c r="A231" t="s">
        <v>385</v>
      </c>
      <c r="B231" t="str">
        <f>IF($C$60&gt;=25,IF($C$60=25,E13+$C$37*$C$61,E13),"")</f>
        <v/>
      </c>
    </row>
    <row r="232" spans="1:2" ht="13.9" hidden="1" x14ac:dyDescent="0.4">
      <c r="A232" t="s">
        <v>384</v>
      </c>
      <c r="B232" t="str">
        <f>IF($C$60&gt;=26,IF($C$60=26,E13+$C$37*$C$61,E13),"")</f>
        <v/>
      </c>
    </row>
    <row r="233" spans="1:2" ht="13.9" hidden="1" x14ac:dyDescent="0.4">
      <c r="A233" t="s">
        <v>383</v>
      </c>
      <c r="B233" t="str">
        <f>IF($C$60&gt;=27,IF($C$60=27,E13+$C$37*$C$61,E13),"")</f>
        <v/>
      </c>
    </row>
    <row r="234" spans="1:2" ht="13.9" hidden="1" x14ac:dyDescent="0.4">
      <c r="A234" t="s">
        <v>382</v>
      </c>
      <c r="B234" t="str">
        <f>IF($C$60&gt;=28,IF($C$60=28,E13+$C$37*$C$61,E13),"")</f>
        <v/>
      </c>
    </row>
    <row r="235" spans="1:2" ht="13.9" hidden="1" x14ac:dyDescent="0.4">
      <c r="A235" t="s">
        <v>381</v>
      </c>
      <c r="B235" t="str">
        <f>IF($C$60&gt;=29,IF($C$60=29,E13+$C$37*$C$61,E13),"")</f>
        <v/>
      </c>
    </row>
    <row r="236" spans="1:2" ht="13.9" hidden="1" x14ac:dyDescent="0.4">
      <c r="A236" t="s">
        <v>380</v>
      </c>
      <c r="B236" t="str">
        <f>IF($C$60&gt;=30,IF($C$60=30,E13+$C$37*$C$61,E13),"")</f>
        <v/>
      </c>
    </row>
    <row r="237" spans="1:2" ht="13.9" hidden="1" x14ac:dyDescent="0.4">
      <c r="A237" t="s">
        <v>379</v>
      </c>
      <c r="B237" t="str">
        <f>IF($C$60&gt;=31,IF($C$60=31,E13+$C$37*$C$61,E13),"")</f>
        <v/>
      </c>
    </row>
    <row r="238" spans="1:2" ht="13.9" hidden="1" x14ac:dyDescent="0.4">
      <c r="A238" t="s">
        <v>378</v>
      </c>
      <c r="B238" t="str">
        <f>IF($C$60&gt;=32,IF($C$60=32,E13+$C$37*$C$61,E13),"")</f>
        <v/>
      </c>
    </row>
    <row r="239" spans="1:2" ht="13.9" hidden="1" x14ac:dyDescent="0.4">
      <c r="A239" t="s">
        <v>377</v>
      </c>
      <c r="B239" t="str">
        <f>IF($C$60&gt;=33,IF($C$60=33,E13+$C$37*$C$61,E13),"")</f>
        <v/>
      </c>
    </row>
    <row r="240" spans="1:2" ht="13.9" hidden="1" x14ac:dyDescent="0.4">
      <c r="A240" t="s">
        <v>376</v>
      </c>
      <c r="B240" t="str">
        <f>IF($C$60&gt;=34,IF($C$60=34,E13+$C$37*$C$61,E13),"")</f>
        <v/>
      </c>
    </row>
    <row r="241" spans="1:2" ht="13.9" hidden="1" x14ac:dyDescent="0.4">
      <c r="A241" t="s">
        <v>375</v>
      </c>
      <c r="B241" t="str">
        <f>IF($C$60&gt;=35,IF($C$60=35,E13+$C$37*$C$61,E13),"")</f>
        <v/>
      </c>
    </row>
    <row r="242" spans="1:2" ht="13.9" hidden="1" x14ac:dyDescent="0.4">
      <c r="A242" t="s">
        <v>374</v>
      </c>
      <c r="B242" t="str">
        <f>IF($C$60&gt;=36,IF($C$60=36,E13+$C$37*$C$61,E13),"")</f>
        <v/>
      </c>
    </row>
    <row r="243" spans="1:2" ht="13.9" hidden="1" x14ac:dyDescent="0.4">
      <c r="A243" t="s">
        <v>373</v>
      </c>
      <c r="B243" t="str">
        <f>IF($C$60&gt;=37,IF($C$60=37,E13+$C$37*$C$61,E13),"")</f>
        <v/>
      </c>
    </row>
    <row r="244" spans="1:2" ht="13.9" hidden="1" x14ac:dyDescent="0.4">
      <c r="A244" t="s">
        <v>372</v>
      </c>
      <c r="B244" t="str">
        <f>IF($C$60&gt;=38,IF($C$60=38,E13+$C$37*$C$61,E13),"")</f>
        <v/>
      </c>
    </row>
    <row r="245" spans="1:2" ht="13.9" hidden="1" x14ac:dyDescent="0.4">
      <c r="A245" t="s">
        <v>371</v>
      </c>
      <c r="B245" t="str">
        <f>IF($C$60&gt;=39,IF($C$60=39,E13+$C$37*$C$61,E13),"")</f>
        <v/>
      </c>
    </row>
    <row r="246" spans="1:2" ht="13.9" hidden="1" x14ac:dyDescent="0.4">
      <c r="A246" t="s">
        <v>370</v>
      </c>
      <c r="B246" t="str">
        <f>IF($C$60&gt;=40,IF($C$60=40,E13+$C$37*$C$61,E13),"")</f>
        <v/>
      </c>
    </row>
    <row r="248" spans="1:2" ht="13.9" hidden="1" x14ac:dyDescent="0.4">
      <c r="A248" t="s">
        <v>238</v>
      </c>
    </row>
    <row r="249" spans="1:2" ht="13.9" hidden="1" x14ac:dyDescent="0.4">
      <c r="A249" t="s">
        <v>232</v>
      </c>
      <c r="B249">
        <f>-$C$37</f>
        <v>-1484</v>
      </c>
    </row>
    <row r="250" spans="1:2" ht="13.9" hidden="1" x14ac:dyDescent="0.4">
      <c r="A250" t="s">
        <v>231</v>
      </c>
      <c r="B250">
        <f>IF($C$60&gt;=1,IF($C$60=1,F13+$C$37*$C$61,F13),"")</f>
        <v>424.92</v>
      </c>
    </row>
    <row r="251" spans="1:2" ht="13.9" hidden="1" x14ac:dyDescent="0.4">
      <c r="A251" t="s">
        <v>230</v>
      </c>
      <c r="B251">
        <f>IF($C$60&gt;=2,IF($C$60=2,F13+$C$37*$C$61,F13),"")</f>
        <v>424.92</v>
      </c>
    </row>
    <row r="252" spans="1:2" ht="13.9" hidden="1" x14ac:dyDescent="0.4">
      <c r="A252" t="s">
        <v>229</v>
      </c>
      <c r="B252">
        <f>IF($C$60&gt;=3,IF($C$60=3,F13+$C$37*$C$61,F13),"")</f>
        <v>424.92</v>
      </c>
    </row>
    <row r="253" spans="1:2" ht="13.9" hidden="1" x14ac:dyDescent="0.4">
      <c r="A253" t="s">
        <v>228</v>
      </c>
      <c r="B253">
        <f>IF($C$60&gt;=4,IF($C$60=4,F13+$C$37*$C$61,F13),"")</f>
        <v>424.92</v>
      </c>
    </row>
    <row r="254" spans="1:2" ht="13.9" hidden="1" x14ac:dyDescent="0.4">
      <c r="A254" t="s">
        <v>227</v>
      </c>
      <c r="B254">
        <f>IF($C$60&gt;=5,IF($C$60=5,F13+$C$37*$C$61,F13),"")</f>
        <v>424.92</v>
      </c>
    </row>
    <row r="255" spans="1:2" ht="13.9" hidden="1" x14ac:dyDescent="0.4">
      <c r="A255" t="s">
        <v>226</v>
      </c>
      <c r="B255">
        <f>IF($C$60&gt;=6,IF($C$60=6,F13+$C$37*$C$61,F13),"")</f>
        <v>424.92</v>
      </c>
    </row>
    <row r="256" spans="1:2" ht="13.9" hidden="1" x14ac:dyDescent="0.4">
      <c r="A256" t="s">
        <v>225</v>
      </c>
      <c r="B256">
        <f>IF($C$60&gt;=7,IF($C$60=7,F13+$C$37*$C$61,F13),"")</f>
        <v>424.92</v>
      </c>
    </row>
    <row r="257" spans="1:2" ht="13.9" hidden="1" x14ac:dyDescent="0.4">
      <c r="A257" t="s">
        <v>224</v>
      </c>
      <c r="B257">
        <f>IF($C$60&gt;=8,IF($C$60=8,F13+$C$37*$C$61,F13),"")</f>
        <v>424.92</v>
      </c>
    </row>
    <row r="258" spans="1:2" ht="13.9" hidden="1" x14ac:dyDescent="0.4">
      <c r="A258" t="s">
        <v>223</v>
      </c>
      <c r="B258">
        <f>IF($C$60&gt;=9,IF($C$60=9,F13+$C$37*$C$61,F13),"")</f>
        <v>424.92</v>
      </c>
    </row>
    <row r="259" spans="1:2" ht="13.9" hidden="1" x14ac:dyDescent="0.4">
      <c r="A259" t="s">
        <v>222</v>
      </c>
      <c r="B259">
        <f>IF($C$60&gt;=10,IF($C$60=10,F13+$C$37*$C$61,F13),"")</f>
        <v>424.92</v>
      </c>
    </row>
    <row r="260" spans="1:2" ht="13.9" hidden="1" x14ac:dyDescent="0.4">
      <c r="A260" t="s">
        <v>221</v>
      </c>
      <c r="B260">
        <f>IF($C$60&gt;=11,IF($C$60=11,F13+$C$37*$C$61,F13),"")</f>
        <v>424.92</v>
      </c>
    </row>
    <row r="261" spans="1:2" ht="13.9" hidden="1" x14ac:dyDescent="0.4">
      <c r="A261" t="s">
        <v>220</v>
      </c>
      <c r="B261">
        <f>IF($C$60&gt;=12,IF($C$60=12,F13+$C$37*$C$61,F13),"")</f>
        <v>424.92</v>
      </c>
    </row>
    <row r="262" spans="1:2" ht="13.9" hidden="1" x14ac:dyDescent="0.4">
      <c r="A262" t="s">
        <v>219</v>
      </c>
      <c r="B262">
        <f>IF($C$60&gt;=13,IF($C$60=13,F13+$C$37*$C$61,F13),"")</f>
        <v>424.92</v>
      </c>
    </row>
    <row r="263" spans="1:2" ht="13.9" hidden="1" x14ac:dyDescent="0.4">
      <c r="A263" t="s">
        <v>218</v>
      </c>
      <c r="B263">
        <f>IF($C$60&gt;=14,IF($C$60=14,F13+$C$37*$C$61,F13),"")</f>
        <v>424.92</v>
      </c>
    </row>
    <row r="264" spans="1:2" ht="13.9" hidden="1" x14ac:dyDescent="0.4">
      <c r="A264" t="s">
        <v>217</v>
      </c>
      <c r="B264">
        <f>IF($C$60&gt;=15,IF($C$60=15,F13+$C$37*$C$61,F13),"")</f>
        <v>573.32000000000005</v>
      </c>
    </row>
    <row r="265" spans="1:2" ht="13.9" hidden="1" x14ac:dyDescent="0.4">
      <c r="A265" t="s">
        <v>394</v>
      </c>
      <c r="B265" t="str">
        <f>IF($C$60&gt;=16,IF($C$60=16,F13+$C$37*$C$61,F13),"")</f>
        <v/>
      </c>
    </row>
    <row r="266" spans="1:2" ht="13.9" hidden="1" x14ac:dyDescent="0.4">
      <c r="A266" t="s">
        <v>393</v>
      </c>
      <c r="B266" t="str">
        <f>IF($C$60&gt;=17,IF($C$60=17,F13+$C$37*$C$61,F13),"")</f>
        <v/>
      </c>
    </row>
    <row r="267" spans="1:2" ht="13.9" hidden="1" x14ac:dyDescent="0.4">
      <c r="A267" t="s">
        <v>392</v>
      </c>
      <c r="B267" t="str">
        <f>IF($C$60&gt;=18,IF($C$60=18,F13+$C$37*$C$61,F13),"")</f>
        <v/>
      </c>
    </row>
    <row r="268" spans="1:2" ht="13.9" hidden="1" x14ac:dyDescent="0.4">
      <c r="A268" t="s">
        <v>391</v>
      </c>
      <c r="B268" t="str">
        <f>IF($C$60&gt;=19,IF($C$60=19,F13+$C$37*$C$61,F13),"")</f>
        <v/>
      </c>
    </row>
    <row r="269" spans="1:2" ht="13.9" hidden="1" x14ac:dyDescent="0.4">
      <c r="A269" t="s">
        <v>390</v>
      </c>
      <c r="B269" t="str">
        <f>IF($C$60&gt;=20,IF($C$60=20,F13+$C$37*$C$61,F13),"")</f>
        <v/>
      </c>
    </row>
    <row r="270" spans="1:2" ht="13.9" hidden="1" x14ac:dyDescent="0.4">
      <c r="A270" t="s">
        <v>389</v>
      </c>
      <c r="B270" t="str">
        <f>IF($C$60&gt;=21,IF($C$60=21,F13+$C$37*$C$61,F13),"")</f>
        <v/>
      </c>
    </row>
    <row r="271" spans="1:2" ht="13.9" hidden="1" x14ac:dyDescent="0.4">
      <c r="A271" t="s">
        <v>388</v>
      </c>
      <c r="B271" t="str">
        <f>IF($C$60&gt;=22,IF($C$60=22,F13+$C$37*$C$61,F13),"")</f>
        <v/>
      </c>
    </row>
    <row r="272" spans="1:2" ht="13.9" hidden="1" x14ac:dyDescent="0.4">
      <c r="A272" t="s">
        <v>387</v>
      </c>
      <c r="B272" t="str">
        <f>IF($C$60&gt;=23,IF($C$60=23,F13+$C$37*$C$61,F13),"")</f>
        <v/>
      </c>
    </row>
    <row r="273" spans="1:2" ht="13.9" hidden="1" x14ac:dyDescent="0.4">
      <c r="A273" t="s">
        <v>386</v>
      </c>
      <c r="B273" t="str">
        <f>IF($C$60&gt;=24,IF($C$60=24,F13+$C$37*$C$61,F13),"")</f>
        <v/>
      </c>
    </row>
    <row r="274" spans="1:2" ht="13.9" hidden="1" x14ac:dyDescent="0.4">
      <c r="A274" t="s">
        <v>385</v>
      </c>
      <c r="B274" t="str">
        <f>IF($C$60&gt;=25,IF($C$60=25,F13+$C$37*$C$61,F13),"")</f>
        <v/>
      </c>
    </row>
    <row r="275" spans="1:2" ht="13.9" hidden="1" x14ac:dyDescent="0.4">
      <c r="A275" t="s">
        <v>384</v>
      </c>
      <c r="B275" t="str">
        <f>IF($C$60&gt;=26,IF($C$60=26,F13+$C$37*$C$61,F13),"")</f>
        <v/>
      </c>
    </row>
    <row r="276" spans="1:2" ht="13.9" hidden="1" x14ac:dyDescent="0.4">
      <c r="A276" t="s">
        <v>383</v>
      </c>
      <c r="B276" t="str">
        <f>IF($C$60&gt;=27,IF($C$60=27,F13+$C$37*$C$61,F13),"")</f>
        <v/>
      </c>
    </row>
    <row r="277" spans="1:2" ht="13.9" hidden="1" x14ac:dyDescent="0.4">
      <c r="A277" t="s">
        <v>382</v>
      </c>
      <c r="B277" t="str">
        <f>IF($C$60&gt;=28,IF($C$60=28,F13+$C$37*$C$61,F13),"")</f>
        <v/>
      </c>
    </row>
    <row r="278" spans="1:2" ht="13.9" hidden="1" x14ac:dyDescent="0.4">
      <c r="A278" t="s">
        <v>381</v>
      </c>
      <c r="B278" t="str">
        <f>IF($C$60&gt;=29,IF($C$60=29,F13+$C$37*$C$61,F13),"")</f>
        <v/>
      </c>
    </row>
    <row r="279" spans="1:2" ht="13.9" hidden="1" x14ac:dyDescent="0.4">
      <c r="A279" t="s">
        <v>380</v>
      </c>
      <c r="B279" t="str">
        <f>IF($C$60&gt;=30,IF($C$60=30,F13+$C$37*$C$61,F13),"")</f>
        <v/>
      </c>
    </row>
    <row r="280" spans="1:2" ht="13.9" hidden="1" x14ac:dyDescent="0.4">
      <c r="A280" t="s">
        <v>379</v>
      </c>
      <c r="B280" t="str">
        <f>IF($C$60&gt;=31,IF($C$60=31,F13+$C$37*$C$61,F13),"")</f>
        <v/>
      </c>
    </row>
    <row r="281" spans="1:2" ht="13.9" hidden="1" x14ac:dyDescent="0.4">
      <c r="A281" t="s">
        <v>378</v>
      </c>
      <c r="B281" t="str">
        <f>IF($C$60&gt;=32,IF($C$60=32,F13+$C$37*$C$61,F13),"")</f>
        <v/>
      </c>
    </row>
    <row r="282" spans="1:2" ht="13.9" hidden="1" x14ac:dyDescent="0.4">
      <c r="A282" t="s">
        <v>377</v>
      </c>
      <c r="B282" t="str">
        <f>IF($C$60&gt;=33,IF($C$60=33,F13+$C$37*$C$61,F13),"")</f>
        <v/>
      </c>
    </row>
    <row r="283" spans="1:2" ht="13.9" hidden="1" x14ac:dyDescent="0.4">
      <c r="A283" t="s">
        <v>376</v>
      </c>
      <c r="B283" t="str">
        <f>IF($C$60&gt;=34,IF($C$60=34,F13+$C$37*$C$61,F13),"")</f>
        <v/>
      </c>
    </row>
    <row r="284" spans="1:2" ht="13.9" hidden="1" x14ac:dyDescent="0.4">
      <c r="A284" t="s">
        <v>375</v>
      </c>
      <c r="B284" t="str">
        <f>IF($C$60&gt;=35,IF($C$60=35,F13+$C$37*$C$61,F13),"")</f>
        <v/>
      </c>
    </row>
    <row r="285" spans="1:2" ht="13.9" hidden="1" x14ac:dyDescent="0.4">
      <c r="A285" t="s">
        <v>374</v>
      </c>
      <c r="B285" t="str">
        <f>IF($C$60&gt;=36,IF($C$60=36,F13+$C$37*$C$61,F13),"")</f>
        <v/>
      </c>
    </row>
    <row r="286" spans="1:2" ht="13.9" hidden="1" x14ac:dyDescent="0.4">
      <c r="A286" t="s">
        <v>373</v>
      </c>
      <c r="B286" t="str">
        <f>IF($C$60&gt;=37,IF($C$60=37,F13+$C$37*$C$61,F13),"")</f>
        <v/>
      </c>
    </row>
    <row r="287" spans="1:2" ht="13.9" hidden="1" x14ac:dyDescent="0.4">
      <c r="A287" t="s">
        <v>372</v>
      </c>
      <c r="B287" t="str">
        <f>IF($C$60&gt;=38,IF($C$60=38,F13+$C$37*$C$61,F13),"")</f>
        <v/>
      </c>
    </row>
    <row r="288" spans="1:2" ht="13.9" hidden="1" x14ac:dyDescent="0.4">
      <c r="A288" t="s">
        <v>371</v>
      </c>
      <c r="B288" t="str">
        <f>IF($C$60&gt;=39,IF($C$60=39,F13+$C$37*$C$61,F13),"")</f>
        <v/>
      </c>
    </row>
    <row r="289" spans="1:2" ht="13.9" hidden="1" x14ac:dyDescent="0.4">
      <c r="A289" t="s">
        <v>370</v>
      </c>
      <c r="B289" t="str">
        <f>IF($C$60&gt;=40,IF($C$60=40,F13+$C$37*$C$61,F13),"")</f>
        <v/>
      </c>
    </row>
    <row r="291" spans="1:2" ht="13.9" hidden="1" x14ac:dyDescent="0.4">
      <c r="A291" t="s">
        <v>237</v>
      </c>
    </row>
    <row r="292" spans="1:2" ht="13.9" hidden="1" x14ac:dyDescent="0.4">
      <c r="A292" t="s">
        <v>232</v>
      </c>
      <c r="B292">
        <f>-$C$37</f>
        <v>-1484</v>
      </c>
    </row>
    <row r="293" spans="1:2" ht="13.9" hidden="1" x14ac:dyDescent="0.4">
      <c r="A293" t="s">
        <v>231</v>
      </c>
      <c r="B293">
        <f>IF($C$60&gt;=1,IF($C$60=1,G13+$C$37*$C$61,G13),"")</f>
        <v>491.65</v>
      </c>
    </row>
    <row r="294" spans="1:2" ht="13.9" hidden="1" x14ac:dyDescent="0.4">
      <c r="A294" t="s">
        <v>230</v>
      </c>
      <c r="B294">
        <f>IF($C$60&gt;=2,IF($C$60=2,G13+$C$37*$C$61,G13),"")</f>
        <v>491.65</v>
      </c>
    </row>
    <row r="295" spans="1:2" ht="13.9" hidden="1" x14ac:dyDescent="0.4">
      <c r="A295" t="s">
        <v>229</v>
      </c>
      <c r="B295">
        <f>IF($C$60&gt;=3,IF($C$60=3,G13+$C$37*$C$61,G13),"")</f>
        <v>491.65</v>
      </c>
    </row>
    <row r="296" spans="1:2" ht="13.9" hidden="1" x14ac:dyDescent="0.4">
      <c r="A296" t="s">
        <v>228</v>
      </c>
      <c r="B296">
        <f>IF($C$60&gt;=4,IF($C$60=4,G13+$C$37*$C$61,G13),"")</f>
        <v>491.65</v>
      </c>
    </row>
    <row r="297" spans="1:2" ht="13.9" hidden="1" x14ac:dyDescent="0.4">
      <c r="A297" t="s">
        <v>227</v>
      </c>
      <c r="B297">
        <f>IF($C$60&gt;=5,IF($C$60=5,G13+$C$37*$C$61,G13),"")</f>
        <v>491.65</v>
      </c>
    </row>
    <row r="298" spans="1:2" ht="13.9" hidden="1" x14ac:dyDescent="0.4">
      <c r="A298" t="s">
        <v>226</v>
      </c>
      <c r="B298">
        <f>IF($C$60&gt;=6,IF($C$60=6,G13+$C$37*$C$61,G13),"")</f>
        <v>491.65</v>
      </c>
    </row>
    <row r="299" spans="1:2" ht="13.9" hidden="1" x14ac:dyDescent="0.4">
      <c r="A299" t="s">
        <v>225</v>
      </c>
      <c r="B299">
        <f>IF($C$60&gt;=7,IF($C$60=7,G13+$C$37*$C$61,G13),"")</f>
        <v>491.65</v>
      </c>
    </row>
    <row r="300" spans="1:2" ht="13.9" hidden="1" x14ac:dyDescent="0.4">
      <c r="A300" t="s">
        <v>224</v>
      </c>
      <c r="B300">
        <f>IF($C$60&gt;=8,IF($C$60=8,G13+$C$37*$C$61,G13),"")</f>
        <v>491.65</v>
      </c>
    </row>
    <row r="301" spans="1:2" ht="13.9" hidden="1" x14ac:dyDescent="0.4">
      <c r="A301" t="s">
        <v>223</v>
      </c>
      <c r="B301">
        <f>IF($C$60&gt;=9,IF($C$60=9,G13+$C$37*$C$61,G13),"")</f>
        <v>491.65</v>
      </c>
    </row>
    <row r="302" spans="1:2" ht="13.9" hidden="1" x14ac:dyDescent="0.4">
      <c r="A302" t="s">
        <v>222</v>
      </c>
      <c r="B302">
        <f>IF($C$60&gt;=10,IF($C$60=10,G13+$C$37*$C$61,G13),"")</f>
        <v>491.65</v>
      </c>
    </row>
    <row r="303" spans="1:2" ht="13.9" hidden="1" x14ac:dyDescent="0.4">
      <c r="A303" t="s">
        <v>221</v>
      </c>
      <c r="B303">
        <f>IF($C$60&gt;=11,IF($C$60=11,G13+$C$37*$C$61,G13),"")</f>
        <v>491.65</v>
      </c>
    </row>
    <row r="304" spans="1:2" ht="13.9" hidden="1" x14ac:dyDescent="0.4">
      <c r="A304" t="s">
        <v>220</v>
      </c>
      <c r="B304">
        <f>IF($C$60&gt;=12,IF($C$60=12,G13+$C$37*$C$61,G13),"")</f>
        <v>491.65</v>
      </c>
    </row>
    <row r="305" spans="1:2" ht="13.9" hidden="1" x14ac:dyDescent="0.4">
      <c r="A305" t="s">
        <v>219</v>
      </c>
      <c r="B305">
        <f>IF($C$60&gt;=13,IF($C$60=13,G13+$C$37*$C$61,G13),"")</f>
        <v>491.65</v>
      </c>
    </row>
    <row r="306" spans="1:2" ht="13.9" hidden="1" x14ac:dyDescent="0.4">
      <c r="A306" t="s">
        <v>218</v>
      </c>
      <c r="B306">
        <f>IF($C$60&gt;=14,IF($C$60=14,G13+$C$37*$C$61,G13),"")</f>
        <v>491.65</v>
      </c>
    </row>
    <row r="307" spans="1:2" ht="13.9" hidden="1" x14ac:dyDescent="0.4">
      <c r="A307" t="s">
        <v>217</v>
      </c>
      <c r="B307">
        <f>IF($C$60&gt;=15,IF($C$60=15,G13+$C$37*$C$61,G13),"")</f>
        <v>640.04999999999995</v>
      </c>
    </row>
    <row r="308" spans="1:2" ht="13.9" hidden="1" x14ac:dyDescent="0.4">
      <c r="A308" t="s">
        <v>394</v>
      </c>
      <c r="B308" t="str">
        <f>IF($C$60&gt;=16,IF($C$60=16,G13+$C$37*$C$61,G13),"")</f>
        <v/>
      </c>
    </row>
    <row r="309" spans="1:2" ht="13.9" hidden="1" x14ac:dyDescent="0.4">
      <c r="A309" t="s">
        <v>393</v>
      </c>
      <c r="B309" t="str">
        <f>IF($C$60&gt;=17,IF($C$60=17,G13+$C$37*$C$61,G13),"")</f>
        <v/>
      </c>
    </row>
    <row r="310" spans="1:2" ht="13.9" hidden="1" x14ac:dyDescent="0.4">
      <c r="A310" t="s">
        <v>392</v>
      </c>
      <c r="B310" t="str">
        <f>IF($C$60&gt;=18,IF($C$60=18,G13+$C$37*$C$61,G13),"")</f>
        <v/>
      </c>
    </row>
    <row r="311" spans="1:2" ht="13.9" hidden="1" x14ac:dyDescent="0.4">
      <c r="A311" t="s">
        <v>391</v>
      </c>
      <c r="B311" t="str">
        <f>IF($C$60&gt;=19,IF($C$60=19,G13+$C$37*$C$61,G13),"")</f>
        <v/>
      </c>
    </row>
    <row r="312" spans="1:2" ht="13.9" hidden="1" x14ac:dyDescent="0.4">
      <c r="A312" t="s">
        <v>390</v>
      </c>
      <c r="B312" t="str">
        <f>IF($C$60&gt;=20,IF($C$60=20,G13+$C$37*$C$61,G13),"")</f>
        <v/>
      </c>
    </row>
    <row r="313" spans="1:2" ht="13.9" hidden="1" x14ac:dyDescent="0.4">
      <c r="A313" t="s">
        <v>389</v>
      </c>
      <c r="B313" t="str">
        <f>IF($C$60&gt;=21,IF($C$60=21,G13+$C$37*$C$61,G13),"")</f>
        <v/>
      </c>
    </row>
    <row r="314" spans="1:2" ht="13.9" hidden="1" x14ac:dyDescent="0.4">
      <c r="A314" t="s">
        <v>388</v>
      </c>
      <c r="B314" t="str">
        <f>IF($C$60&gt;=22,IF($C$60=22,G13+$C$37*$C$61,G13),"")</f>
        <v/>
      </c>
    </row>
    <row r="315" spans="1:2" ht="13.9" hidden="1" x14ac:dyDescent="0.4">
      <c r="A315" t="s">
        <v>387</v>
      </c>
      <c r="B315" t="str">
        <f>IF($C$60&gt;=23,IF($C$60=23,G13+$C$37*$C$61,G13),"")</f>
        <v/>
      </c>
    </row>
    <row r="316" spans="1:2" ht="13.9" hidden="1" x14ac:dyDescent="0.4">
      <c r="A316" t="s">
        <v>386</v>
      </c>
      <c r="B316" t="str">
        <f>IF($C$60&gt;=24,IF($C$60=24,G13+$C$37*$C$61,G13),"")</f>
        <v/>
      </c>
    </row>
    <row r="317" spans="1:2" ht="13.9" hidden="1" x14ac:dyDescent="0.4">
      <c r="A317" t="s">
        <v>385</v>
      </c>
      <c r="B317" t="str">
        <f>IF($C$60&gt;=25,IF($C$60=25,G13+$C$37*$C$61,G13),"")</f>
        <v/>
      </c>
    </row>
    <row r="318" spans="1:2" ht="13.9" hidden="1" x14ac:dyDescent="0.4">
      <c r="A318" t="s">
        <v>384</v>
      </c>
      <c r="B318" t="str">
        <f>IF($C$60&gt;=26,IF($C$60=26,G13+$C$37*$C$61,G13),"")</f>
        <v/>
      </c>
    </row>
    <row r="319" spans="1:2" ht="13.9" hidden="1" x14ac:dyDescent="0.4">
      <c r="A319" t="s">
        <v>383</v>
      </c>
      <c r="B319" t="str">
        <f>IF($C$60&gt;=27,IF($C$60=27,G13+$C$37*$C$61,G13),"")</f>
        <v/>
      </c>
    </row>
    <row r="320" spans="1:2" ht="13.9" hidden="1" x14ac:dyDescent="0.4">
      <c r="A320" t="s">
        <v>382</v>
      </c>
      <c r="B320" t="str">
        <f>IF($C$60&gt;=28,IF($C$60=28,G13+$C$37*$C$61,G13),"")</f>
        <v/>
      </c>
    </row>
    <row r="321" spans="1:2" ht="13.9" hidden="1" x14ac:dyDescent="0.4">
      <c r="A321" t="s">
        <v>381</v>
      </c>
      <c r="B321" t="str">
        <f>IF($C$60&gt;=29,IF($C$60=29,G13+$C$37*$C$61,G13),"")</f>
        <v/>
      </c>
    </row>
    <row r="322" spans="1:2" ht="13.9" hidden="1" x14ac:dyDescent="0.4">
      <c r="A322" t="s">
        <v>380</v>
      </c>
      <c r="B322" t="str">
        <f>IF($C$60&gt;=30,IF($C$60=30,G13+$C$37*$C$61,G13),"")</f>
        <v/>
      </c>
    </row>
    <row r="323" spans="1:2" ht="13.9" hidden="1" x14ac:dyDescent="0.4">
      <c r="A323" t="s">
        <v>379</v>
      </c>
      <c r="B323" t="str">
        <f>IF($C$60&gt;=31,IF($C$60=31,G13+$C$37*$C$61,G13),"")</f>
        <v/>
      </c>
    </row>
    <row r="324" spans="1:2" ht="13.9" hidden="1" x14ac:dyDescent="0.4">
      <c r="A324" t="s">
        <v>378</v>
      </c>
      <c r="B324" t="str">
        <f>IF($C$60&gt;=32,IF($C$60=32,G13+$C$37*$C$61,G13),"")</f>
        <v/>
      </c>
    </row>
    <row r="325" spans="1:2" ht="13.9" hidden="1" x14ac:dyDescent="0.4">
      <c r="A325" t="s">
        <v>377</v>
      </c>
      <c r="B325" t="str">
        <f>IF($C$60&gt;=33,IF($C$60=33,G13+$C$37*$C$61,G13),"")</f>
        <v/>
      </c>
    </row>
    <row r="326" spans="1:2" ht="13.9" hidden="1" x14ac:dyDescent="0.4">
      <c r="A326" t="s">
        <v>376</v>
      </c>
      <c r="B326" t="str">
        <f>IF($C$60&gt;=34,IF($C$60=34,G13+$C$37*$C$61,G13),"")</f>
        <v/>
      </c>
    </row>
    <row r="327" spans="1:2" ht="13.9" hidden="1" x14ac:dyDescent="0.4">
      <c r="A327" t="s">
        <v>375</v>
      </c>
      <c r="B327" t="str">
        <f>IF($C$60&gt;=35,IF($C$60=35,G13+$C$37*$C$61,G13),"")</f>
        <v/>
      </c>
    </row>
    <row r="328" spans="1:2" ht="13.9" hidden="1" x14ac:dyDescent="0.4">
      <c r="A328" t="s">
        <v>374</v>
      </c>
      <c r="B328" t="str">
        <f>IF($C$60&gt;=36,IF($C$60=36,G13+$C$37*$C$61,G13),"")</f>
        <v/>
      </c>
    </row>
    <row r="329" spans="1:2" ht="13.9" hidden="1" x14ac:dyDescent="0.4">
      <c r="A329" t="s">
        <v>373</v>
      </c>
      <c r="B329" t="str">
        <f>IF($C$60&gt;=37,IF($C$60=37,G13+$C$37*$C$61,G13),"")</f>
        <v/>
      </c>
    </row>
    <row r="330" spans="1:2" ht="13.9" hidden="1" x14ac:dyDescent="0.4">
      <c r="A330" t="s">
        <v>372</v>
      </c>
      <c r="B330" t="str">
        <f>IF($C$60&gt;=38,IF($C$60=38,G13+$C$37*$C$61,G13),"")</f>
        <v/>
      </c>
    </row>
    <row r="331" spans="1:2" ht="13.9" hidden="1" x14ac:dyDescent="0.4">
      <c r="A331" t="s">
        <v>371</v>
      </c>
      <c r="B331" t="str">
        <f>IF($C$60&gt;=39,IF($C$60=39,G13+$C$37*$C$61,G13),"")</f>
        <v/>
      </c>
    </row>
    <row r="332" spans="1:2" ht="13.9" hidden="1" x14ac:dyDescent="0.4">
      <c r="A332" t="s">
        <v>370</v>
      </c>
      <c r="B332" t="str">
        <f>IF($C$60&gt;=40,IF($C$60=40,G13+$C$37*$C$61,G13),"")</f>
        <v/>
      </c>
    </row>
    <row r="334" spans="1:2" ht="13.9" hidden="1" x14ac:dyDescent="0.4">
      <c r="A334" t="s">
        <v>236</v>
      </c>
    </row>
    <row r="335" spans="1:2" ht="13.9" hidden="1" x14ac:dyDescent="0.4">
      <c r="A335" t="s">
        <v>232</v>
      </c>
      <c r="B335">
        <f>-$C$37</f>
        <v>-1484</v>
      </c>
    </row>
    <row r="336" spans="1:2" ht="13.9" hidden="1" x14ac:dyDescent="0.4">
      <c r="A336" t="s">
        <v>231</v>
      </c>
      <c r="B336">
        <f>IF($C$60&gt;=1,IF($C$60=1,H13+$C$37*$C$61,H13),"")</f>
        <v>558.38</v>
      </c>
    </row>
    <row r="337" spans="1:2" ht="13.9" hidden="1" x14ac:dyDescent="0.4">
      <c r="A337" t="s">
        <v>230</v>
      </c>
      <c r="B337">
        <f>IF($C$60&gt;=2,IF($C$60=2,H13+$C$37*$C$61,H13),"")</f>
        <v>558.38</v>
      </c>
    </row>
    <row r="338" spans="1:2" ht="13.9" hidden="1" x14ac:dyDescent="0.4">
      <c r="A338" t="s">
        <v>229</v>
      </c>
      <c r="B338">
        <f>IF($C$60&gt;=3,IF($C$60=3,H13+$C$37*$C$61,H13),"")</f>
        <v>558.38</v>
      </c>
    </row>
    <row r="339" spans="1:2" ht="13.9" hidden="1" x14ac:dyDescent="0.4">
      <c r="A339" t="s">
        <v>228</v>
      </c>
      <c r="B339">
        <f>IF($C$60&gt;=4,IF($C$60=4,H13+$C$37*$C$61,H13),"")</f>
        <v>558.38</v>
      </c>
    </row>
    <row r="340" spans="1:2" ht="13.9" hidden="1" x14ac:dyDescent="0.4">
      <c r="A340" t="s">
        <v>227</v>
      </c>
      <c r="B340">
        <f>IF($C$60&gt;=5,IF($C$60=5,H13+$C$37*$C$61,H13),"")</f>
        <v>558.38</v>
      </c>
    </row>
    <row r="341" spans="1:2" ht="13.9" hidden="1" x14ac:dyDescent="0.4">
      <c r="A341" t="s">
        <v>226</v>
      </c>
      <c r="B341">
        <f>IF($C$60&gt;=6,IF($C$60=6,H13+$C$37*$C$61,H13),"")</f>
        <v>558.38</v>
      </c>
    </row>
    <row r="342" spans="1:2" ht="13.9" hidden="1" x14ac:dyDescent="0.4">
      <c r="A342" t="s">
        <v>225</v>
      </c>
      <c r="B342">
        <f>IF($C$60&gt;=7,IF($C$60=7,H13+$C$37*$C$61,H13),"")</f>
        <v>558.38</v>
      </c>
    </row>
    <row r="343" spans="1:2" ht="13.9" hidden="1" x14ac:dyDescent="0.4">
      <c r="A343" t="s">
        <v>224</v>
      </c>
      <c r="B343">
        <f>IF($C$60&gt;=8,IF($C$60=8,H13+$C$37*$C$61,H13),"")</f>
        <v>558.38</v>
      </c>
    </row>
    <row r="344" spans="1:2" ht="13.9" hidden="1" x14ac:dyDescent="0.4">
      <c r="A344" t="s">
        <v>223</v>
      </c>
      <c r="B344">
        <f>IF($C$60&gt;=9,IF($C$60=9,H13+$C$37*$C$61,H13),"")</f>
        <v>558.38</v>
      </c>
    </row>
    <row r="345" spans="1:2" ht="13.9" hidden="1" x14ac:dyDescent="0.4">
      <c r="A345" t="s">
        <v>222</v>
      </c>
      <c r="B345">
        <f>IF($C$60&gt;=10,IF($C$60=10,H13+$C$37*$C$61,H13),"")</f>
        <v>558.38</v>
      </c>
    </row>
    <row r="346" spans="1:2" ht="13.9" hidden="1" x14ac:dyDescent="0.4">
      <c r="A346" t="s">
        <v>221</v>
      </c>
      <c r="B346">
        <f>IF($C$60&gt;=11,IF($C$60=11,H13+$C$37*$C$61,H13),"")</f>
        <v>558.38</v>
      </c>
    </row>
    <row r="347" spans="1:2" ht="13.9" hidden="1" x14ac:dyDescent="0.4">
      <c r="A347" t="s">
        <v>220</v>
      </c>
      <c r="B347">
        <f>IF($C$60&gt;=12,IF($C$60=12,H13+$C$37*$C$61,H13),"")</f>
        <v>558.38</v>
      </c>
    </row>
    <row r="348" spans="1:2" ht="13.9" hidden="1" x14ac:dyDescent="0.4">
      <c r="A348" t="s">
        <v>219</v>
      </c>
      <c r="B348">
        <f>IF($C$60&gt;=13,IF($C$60=13,H13+$C$37*$C$61,H13),"")</f>
        <v>558.38</v>
      </c>
    </row>
    <row r="349" spans="1:2" ht="13.9" hidden="1" x14ac:dyDescent="0.4">
      <c r="A349" t="s">
        <v>218</v>
      </c>
      <c r="B349">
        <f>IF($C$60&gt;=14,IF($C$60=14,H13+$C$37*$C$61,H13),"")</f>
        <v>558.38</v>
      </c>
    </row>
    <row r="350" spans="1:2" ht="13.9" hidden="1" x14ac:dyDescent="0.4">
      <c r="A350" t="s">
        <v>217</v>
      </c>
      <c r="B350">
        <f>IF($C$60&gt;=15,IF($C$60=15,H13+$C$37*$C$61,H13),"")</f>
        <v>706.78</v>
      </c>
    </row>
    <row r="351" spans="1:2" ht="13.9" hidden="1" x14ac:dyDescent="0.4">
      <c r="A351" t="s">
        <v>394</v>
      </c>
      <c r="B351" t="str">
        <f>IF($C$60&gt;=16,IF($C$60=16,H13+$C$37*$C$61,H13),"")</f>
        <v/>
      </c>
    </row>
    <row r="352" spans="1:2" ht="13.9" hidden="1" x14ac:dyDescent="0.4">
      <c r="A352" t="s">
        <v>393</v>
      </c>
      <c r="B352" t="str">
        <f>IF($C$60&gt;=17,IF($C$60=17,H13+$C$37*$C$61,H13),"")</f>
        <v/>
      </c>
    </row>
    <row r="353" spans="1:2" ht="13.9" hidden="1" x14ac:dyDescent="0.4">
      <c r="A353" t="s">
        <v>392</v>
      </c>
      <c r="B353" t="str">
        <f>IF($C$60&gt;=18,IF($C$60=18,H13+$C$37*$C$61,H13),"")</f>
        <v/>
      </c>
    </row>
    <row r="354" spans="1:2" ht="13.9" hidden="1" x14ac:dyDescent="0.4">
      <c r="A354" t="s">
        <v>391</v>
      </c>
      <c r="B354" t="str">
        <f>IF($C$60&gt;=19,IF($C$60=19,H13+$C$37*$C$61,H13),"")</f>
        <v/>
      </c>
    </row>
    <row r="355" spans="1:2" ht="13.9" hidden="1" x14ac:dyDescent="0.4">
      <c r="A355" t="s">
        <v>390</v>
      </c>
      <c r="B355" t="str">
        <f>IF($C$60&gt;=20,IF($C$60=20,H13+$C$37*$C$61,H13),"")</f>
        <v/>
      </c>
    </row>
    <row r="356" spans="1:2" ht="13.9" hidden="1" x14ac:dyDescent="0.4">
      <c r="A356" t="s">
        <v>389</v>
      </c>
      <c r="B356" t="str">
        <f>IF($C$60&gt;=21,IF($C$60=21,H13+$C$37*$C$61,H13),"")</f>
        <v/>
      </c>
    </row>
    <row r="357" spans="1:2" ht="13.9" hidden="1" x14ac:dyDescent="0.4">
      <c r="A357" t="s">
        <v>388</v>
      </c>
      <c r="B357" t="str">
        <f>IF($C$60&gt;=22,IF($C$60=22,H13+$C$37*$C$61,H13),"")</f>
        <v/>
      </c>
    </row>
    <row r="358" spans="1:2" ht="13.9" hidden="1" x14ac:dyDescent="0.4">
      <c r="A358" t="s">
        <v>387</v>
      </c>
      <c r="B358" t="str">
        <f>IF($C$60&gt;=23,IF($C$60=23,H13+$C$37*$C$61,H13),"")</f>
        <v/>
      </c>
    </row>
    <row r="359" spans="1:2" ht="13.9" hidden="1" x14ac:dyDescent="0.4">
      <c r="A359" t="s">
        <v>386</v>
      </c>
      <c r="B359" t="str">
        <f>IF($C$60&gt;=24,IF($C$60=24,H13+$C$37*$C$61,H13),"")</f>
        <v/>
      </c>
    </row>
    <row r="360" spans="1:2" ht="13.9" hidden="1" x14ac:dyDescent="0.4">
      <c r="A360" t="s">
        <v>385</v>
      </c>
      <c r="B360" t="str">
        <f>IF($C$60&gt;=25,IF($C$60=25,H13+$C$37*$C$61,H13),"")</f>
        <v/>
      </c>
    </row>
    <row r="361" spans="1:2" ht="13.9" hidden="1" x14ac:dyDescent="0.4">
      <c r="A361" t="s">
        <v>384</v>
      </c>
      <c r="B361" t="str">
        <f>IF($C$60&gt;=26,IF($C$60=26,H13+$C$37*$C$61,H13),"")</f>
        <v/>
      </c>
    </row>
    <row r="362" spans="1:2" ht="13.9" hidden="1" x14ac:dyDescent="0.4">
      <c r="A362" t="s">
        <v>383</v>
      </c>
      <c r="B362" t="str">
        <f>IF($C$60&gt;=27,IF($C$60=27,H13+$C$37*$C$61,H13),"")</f>
        <v/>
      </c>
    </row>
    <row r="363" spans="1:2" ht="13.9" hidden="1" x14ac:dyDescent="0.4">
      <c r="A363" t="s">
        <v>382</v>
      </c>
      <c r="B363" t="str">
        <f>IF($C$60&gt;=28,IF($C$60=28,H13+$C$37*$C$61,H13),"")</f>
        <v/>
      </c>
    </row>
    <row r="364" spans="1:2" ht="13.9" hidden="1" x14ac:dyDescent="0.4">
      <c r="A364" t="s">
        <v>381</v>
      </c>
      <c r="B364" t="str">
        <f>IF($C$60&gt;=29,IF($C$60=29,H13+$C$37*$C$61,H13),"")</f>
        <v/>
      </c>
    </row>
    <row r="365" spans="1:2" ht="13.9" hidden="1" x14ac:dyDescent="0.4">
      <c r="A365" t="s">
        <v>380</v>
      </c>
      <c r="B365" t="str">
        <f>IF($C$60&gt;=30,IF($C$60=30,H13+$C$37*$C$61,H13),"")</f>
        <v/>
      </c>
    </row>
    <row r="366" spans="1:2" ht="13.9" hidden="1" x14ac:dyDescent="0.4">
      <c r="A366" t="s">
        <v>379</v>
      </c>
      <c r="B366" t="str">
        <f>IF($C$60&gt;=31,IF($C$60=31,H13+$C$37*$C$61,H13),"")</f>
        <v/>
      </c>
    </row>
    <row r="367" spans="1:2" ht="13.9" hidden="1" x14ac:dyDescent="0.4">
      <c r="A367" t="s">
        <v>378</v>
      </c>
      <c r="B367" t="str">
        <f>IF($C$60&gt;=32,IF($C$60=32,H13+$C$37*$C$61,H13),"")</f>
        <v/>
      </c>
    </row>
    <row r="368" spans="1:2" ht="13.9" hidden="1" x14ac:dyDescent="0.4">
      <c r="A368" t="s">
        <v>377</v>
      </c>
      <c r="B368" t="str">
        <f>IF($C$60&gt;=33,IF($C$60=33,H13+$C$37*$C$61,H13),"")</f>
        <v/>
      </c>
    </row>
    <row r="369" spans="1:2" ht="13.9" hidden="1" x14ac:dyDescent="0.4">
      <c r="A369" t="s">
        <v>376</v>
      </c>
      <c r="B369" t="str">
        <f>IF($C$60&gt;=34,IF($C$60=34,H13+$C$37*$C$61,H13),"")</f>
        <v/>
      </c>
    </row>
    <row r="370" spans="1:2" ht="13.9" hidden="1" x14ac:dyDescent="0.4">
      <c r="A370" t="s">
        <v>375</v>
      </c>
      <c r="B370" t="str">
        <f>IF($C$60&gt;=35,IF($C$60=35,H13+$C$37*$C$61,H13),"")</f>
        <v/>
      </c>
    </row>
    <row r="371" spans="1:2" ht="13.9" hidden="1" x14ac:dyDescent="0.4">
      <c r="A371" t="s">
        <v>374</v>
      </c>
      <c r="B371" t="str">
        <f>IF($C$60&gt;=36,IF($C$60=36,H13+$C$37*$C$61,H13),"")</f>
        <v/>
      </c>
    </row>
    <row r="372" spans="1:2" ht="13.9" hidden="1" x14ac:dyDescent="0.4">
      <c r="A372" t="s">
        <v>373</v>
      </c>
      <c r="B372" t="str">
        <f>IF($C$60&gt;=37,IF($C$60=37,H13+$C$37*$C$61,H13),"")</f>
        <v/>
      </c>
    </row>
    <row r="373" spans="1:2" ht="13.9" hidden="1" x14ac:dyDescent="0.4">
      <c r="A373" t="s">
        <v>372</v>
      </c>
      <c r="B373" t="str">
        <f>IF($C$60&gt;=38,IF($C$60=38,H13+$C$37*$C$61,H13),"")</f>
        <v/>
      </c>
    </row>
    <row r="374" spans="1:2" ht="13.9" hidden="1" x14ac:dyDescent="0.4">
      <c r="A374" t="s">
        <v>371</v>
      </c>
      <c r="B374" t="str">
        <f>IF($C$60&gt;=39,IF($C$60=39,H13+$C$37*$C$61,H13),"")</f>
        <v/>
      </c>
    </row>
    <row r="375" spans="1:2" ht="13.9" hidden="1" x14ac:dyDescent="0.4">
      <c r="A375" t="s">
        <v>370</v>
      </c>
      <c r="B375" t="str">
        <f>IF($C$60&gt;=40,IF($C$60=40,H13+$C$37*$C$61,H13),"")</f>
        <v/>
      </c>
    </row>
    <row r="377" spans="1:2" ht="13.9" hidden="1" x14ac:dyDescent="0.4">
      <c r="A377" t="s">
        <v>235</v>
      </c>
    </row>
    <row r="378" spans="1:2" ht="13.9" hidden="1" x14ac:dyDescent="0.4">
      <c r="A378" t="s">
        <v>232</v>
      </c>
      <c r="B378">
        <f>-$C$37</f>
        <v>-1484</v>
      </c>
    </row>
    <row r="379" spans="1:2" ht="13.9" hidden="1" x14ac:dyDescent="0.4">
      <c r="A379" t="s">
        <v>231</v>
      </c>
      <c r="B379">
        <f>IF($C$60&gt;=1,IF($C$60=1,I13+$C$37*$C$61,I13),"")</f>
        <v>625.11</v>
      </c>
    </row>
    <row r="380" spans="1:2" ht="13.9" hidden="1" x14ac:dyDescent="0.4">
      <c r="A380" t="s">
        <v>230</v>
      </c>
      <c r="B380">
        <f>IF($C$60&gt;=2,IF($C$60=2,I13+$C$37*$C$61,I13),"")</f>
        <v>625.11</v>
      </c>
    </row>
    <row r="381" spans="1:2" ht="13.9" hidden="1" x14ac:dyDescent="0.4">
      <c r="A381" t="s">
        <v>229</v>
      </c>
      <c r="B381">
        <f>IF($C$60&gt;=3,IF($C$60=3,I13+$C$37*$C$61,I13),"")</f>
        <v>625.11</v>
      </c>
    </row>
    <row r="382" spans="1:2" ht="13.9" hidden="1" x14ac:dyDescent="0.4">
      <c r="A382" t="s">
        <v>228</v>
      </c>
      <c r="B382">
        <f>IF($C$60&gt;=4,IF($C$60=4,I13+$C$37*$C$61,I13),"")</f>
        <v>625.11</v>
      </c>
    </row>
    <row r="383" spans="1:2" ht="13.9" hidden="1" x14ac:dyDescent="0.4">
      <c r="A383" t="s">
        <v>227</v>
      </c>
      <c r="B383">
        <f>IF($C$60&gt;=5,IF($C$60=5,I13+$C$37*$C$61,I13),"")</f>
        <v>625.11</v>
      </c>
    </row>
    <row r="384" spans="1:2" ht="13.9" hidden="1" x14ac:dyDescent="0.4">
      <c r="A384" t="s">
        <v>226</v>
      </c>
      <c r="B384">
        <f>IF($C$60&gt;=6,IF($C$60=6,I13+$C$37*$C$61,I13),"")</f>
        <v>625.11</v>
      </c>
    </row>
    <row r="385" spans="1:2" ht="13.9" hidden="1" x14ac:dyDescent="0.4">
      <c r="A385" t="s">
        <v>225</v>
      </c>
      <c r="B385">
        <f>IF($C$60&gt;=7,IF($C$60=7,I13+$C$37*$C$61,I13),"")</f>
        <v>625.11</v>
      </c>
    </row>
    <row r="386" spans="1:2" ht="13.9" hidden="1" x14ac:dyDescent="0.4">
      <c r="A386" t="s">
        <v>224</v>
      </c>
      <c r="B386">
        <f>IF($C$60&gt;=8,IF($C$60=8,I13+$C$37*$C$61,I13),"")</f>
        <v>625.11</v>
      </c>
    </row>
    <row r="387" spans="1:2" ht="13.9" hidden="1" x14ac:dyDescent="0.4">
      <c r="A387" t="s">
        <v>223</v>
      </c>
      <c r="B387">
        <f>IF($C$60&gt;=9,IF($C$60=9,I13+$C$37*$C$61,I13),"")</f>
        <v>625.11</v>
      </c>
    </row>
    <row r="388" spans="1:2" ht="13.9" hidden="1" x14ac:dyDescent="0.4">
      <c r="A388" t="s">
        <v>222</v>
      </c>
      <c r="B388">
        <f>IF($C$60&gt;=10,IF($C$60=10,I13+$C$37*$C$61,I13),"")</f>
        <v>625.11</v>
      </c>
    </row>
    <row r="389" spans="1:2" ht="13.9" hidden="1" x14ac:dyDescent="0.4">
      <c r="A389" t="s">
        <v>221</v>
      </c>
      <c r="B389">
        <f>IF($C$60&gt;=11,IF($C$60=11,I13+$C$37*$C$61,I13),"")</f>
        <v>625.11</v>
      </c>
    </row>
    <row r="390" spans="1:2" ht="13.9" hidden="1" x14ac:dyDescent="0.4">
      <c r="A390" t="s">
        <v>220</v>
      </c>
      <c r="B390">
        <f>IF($C$60&gt;=12,IF($C$60=12,I13+$C$37*$C$61,I13),"")</f>
        <v>625.11</v>
      </c>
    </row>
    <row r="391" spans="1:2" ht="13.9" hidden="1" x14ac:dyDescent="0.4">
      <c r="A391" t="s">
        <v>219</v>
      </c>
      <c r="B391">
        <f>IF($C$60&gt;=13,IF($C$60=13,I13+$C$37*$C$61,I13),"")</f>
        <v>625.11</v>
      </c>
    </row>
    <row r="392" spans="1:2" ht="13.9" hidden="1" x14ac:dyDescent="0.4">
      <c r="A392" t="s">
        <v>218</v>
      </c>
      <c r="B392">
        <f>IF($C$60&gt;=14,IF($C$60=14,I13+$C$37*$C$61,I13),"")</f>
        <v>625.11</v>
      </c>
    </row>
    <row r="393" spans="1:2" ht="13.9" hidden="1" x14ac:dyDescent="0.4">
      <c r="A393" t="s">
        <v>217</v>
      </c>
      <c r="B393">
        <f>IF($C$60&gt;=15,IF($C$60=15,I13+$C$37*$C$61,I13),"")</f>
        <v>773.51</v>
      </c>
    </row>
    <row r="394" spans="1:2" ht="13.9" hidden="1" x14ac:dyDescent="0.4">
      <c r="A394" t="s">
        <v>394</v>
      </c>
      <c r="B394" t="str">
        <f>IF($C$60&gt;=16,IF($C$60=16,I13+$C$37*$C$61,I13),"")</f>
        <v/>
      </c>
    </row>
    <row r="395" spans="1:2" ht="13.9" hidden="1" x14ac:dyDescent="0.4">
      <c r="A395" t="s">
        <v>393</v>
      </c>
      <c r="B395" t="str">
        <f>IF($C$60&gt;=17,IF($C$60=17,I13+$C$37*$C$61,I13),"")</f>
        <v/>
      </c>
    </row>
    <row r="396" spans="1:2" ht="13.9" hidden="1" x14ac:dyDescent="0.4">
      <c r="A396" t="s">
        <v>392</v>
      </c>
      <c r="B396" t="str">
        <f>IF($C$60&gt;=18,IF($C$60=18,I13+$C$37*$C$61,I13),"")</f>
        <v/>
      </c>
    </row>
    <row r="397" spans="1:2" ht="13.9" hidden="1" x14ac:dyDescent="0.4">
      <c r="A397" t="s">
        <v>391</v>
      </c>
      <c r="B397" t="str">
        <f>IF($C$60&gt;=19,IF($C$60=19,I13+$C$37*$C$61,I13),"")</f>
        <v/>
      </c>
    </row>
    <row r="398" spans="1:2" ht="13.9" hidden="1" x14ac:dyDescent="0.4">
      <c r="A398" t="s">
        <v>390</v>
      </c>
      <c r="B398" t="str">
        <f>IF($C$60&gt;=20,IF($C$60=20,I13+$C$37*$C$61,I13),"")</f>
        <v/>
      </c>
    </row>
    <row r="399" spans="1:2" ht="13.9" hidden="1" x14ac:dyDescent="0.4">
      <c r="A399" t="s">
        <v>389</v>
      </c>
      <c r="B399" t="str">
        <f>IF($C$60&gt;=21,IF($C$60=21,I13+$C$37*$C$61,I13),"")</f>
        <v/>
      </c>
    </row>
    <row r="400" spans="1:2" ht="13.9" hidden="1" x14ac:dyDescent="0.4">
      <c r="A400" t="s">
        <v>388</v>
      </c>
      <c r="B400" t="str">
        <f>IF($C$60&gt;=22,IF($C$60=22,I13+$C$37*$C$61,I13),"")</f>
        <v/>
      </c>
    </row>
    <row r="401" spans="1:2" ht="13.9" hidden="1" x14ac:dyDescent="0.4">
      <c r="A401" t="s">
        <v>387</v>
      </c>
      <c r="B401" t="str">
        <f>IF($C$60&gt;=23,IF($C$60=23,I13+$C$37*$C$61,I13),"")</f>
        <v/>
      </c>
    </row>
    <row r="402" spans="1:2" ht="13.9" hidden="1" x14ac:dyDescent="0.4">
      <c r="A402" t="s">
        <v>386</v>
      </c>
      <c r="B402" t="str">
        <f>IF($C$60&gt;=24,IF($C$60=24,I13+$C$37*$C$61,I13),"")</f>
        <v/>
      </c>
    </row>
    <row r="403" spans="1:2" ht="13.9" hidden="1" x14ac:dyDescent="0.4">
      <c r="A403" t="s">
        <v>385</v>
      </c>
      <c r="B403" t="str">
        <f>IF($C$60&gt;=25,IF($C$60=25,I13+$C$37*$C$61,I13),"")</f>
        <v/>
      </c>
    </row>
    <row r="404" spans="1:2" ht="13.9" hidden="1" x14ac:dyDescent="0.4">
      <c r="A404" t="s">
        <v>384</v>
      </c>
      <c r="B404" t="str">
        <f>IF($C$60&gt;=26,IF($C$60=26,I13+$C$37*$C$61,I13),"")</f>
        <v/>
      </c>
    </row>
    <row r="405" spans="1:2" ht="13.9" hidden="1" x14ac:dyDescent="0.4">
      <c r="A405" t="s">
        <v>383</v>
      </c>
      <c r="B405" t="str">
        <f>IF($C$60&gt;=27,IF($C$60=27,I13+$C$37*$C$61,I13),"")</f>
        <v/>
      </c>
    </row>
    <row r="406" spans="1:2" ht="13.9" hidden="1" x14ac:dyDescent="0.4">
      <c r="A406" t="s">
        <v>382</v>
      </c>
      <c r="B406" t="str">
        <f>IF($C$60&gt;=28,IF($C$60=28,I13+$C$37*$C$61,I13),"")</f>
        <v/>
      </c>
    </row>
    <row r="407" spans="1:2" ht="13.9" hidden="1" x14ac:dyDescent="0.4">
      <c r="A407" t="s">
        <v>381</v>
      </c>
      <c r="B407" t="str">
        <f>IF($C$60&gt;=29,IF($C$60=29,I13+$C$37*$C$61,I13),"")</f>
        <v/>
      </c>
    </row>
    <row r="408" spans="1:2" ht="13.9" hidden="1" x14ac:dyDescent="0.4">
      <c r="A408" t="s">
        <v>380</v>
      </c>
      <c r="B408" t="str">
        <f>IF($C$60&gt;=30,IF($C$60=30,I13+$C$37*$C$61,I13),"")</f>
        <v/>
      </c>
    </row>
    <row r="409" spans="1:2" ht="13.9" hidden="1" x14ac:dyDescent="0.4">
      <c r="A409" t="s">
        <v>379</v>
      </c>
      <c r="B409" t="str">
        <f>IF($C$60&gt;=31,IF($C$60=31,I13+$C$37*$C$61,I13),"")</f>
        <v/>
      </c>
    </row>
    <row r="410" spans="1:2" ht="13.9" hidden="1" x14ac:dyDescent="0.4">
      <c r="A410" t="s">
        <v>378</v>
      </c>
      <c r="B410" t="str">
        <f>IF($C$60&gt;=32,IF($C$60=32,I13+$C$37*$C$61,I13),"")</f>
        <v/>
      </c>
    </row>
    <row r="411" spans="1:2" ht="13.9" hidden="1" x14ac:dyDescent="0.4">
      <c r="A411" t="s">
        <v>377</v>
      </c>
      <c r="B411" t="str">
        <f>IF($C$60&gt;=33,IF($C$60=33,I13+$C$37*$C$61,I13),"")</f>
        <v/>
      </c>
    </row>
    <row r="412" spans="1:2" ht="13.9" hidden="1" x14ac:dyDescent="0.4">
      <c r="A412" t="s">
        <v>376</v>
      </c>
      <c r="B412" t="str">
        <f>IF($C$60&gt;=34,IF($C$60=34,I13+$C$37*$C$61,I13),"")</f>
        <v/>
      </c>
    </row>
    <row r="413" spans="1:2" ht="13.9" hidden="1" x14ac:dyDescent="0.4">
      <c r="A413" t="s">
        <v>375</v>
      </c>
      <c r="B413" t="str">
        <f>IF($C$60&gt;=35,IF($C$60=35,I13+$C$37*$C$61,I13),"")</f>
        <v/>
      </c>
    </row>
    <row r="414" spans="1:2" ht="13.9" hidden="1" x14ac:dyDescent="0.4">
      <c r="A414" t="s">
        <v>374</v>
      </c>
      <c r="B414" t="str">
        <f>IF($C$60&gt;=36,IF($C$60=36,I13+$C$37*$C$61,I13),"")</f>
        <v/>
      </c>
    </row>
    <row r="415" spans="1:2" ht="13.9" hidden="1" x14ac:dyDescent="0.4">
      <c r="A415" t="s">
        <v>373</v>
      </c>
      <c r="B415" t="str">
        <f>IF($C$60&gt;=37,IF($C$60=37,I13+$C$37*$C$61,I13),"")</f>
        <v/>
      </c>
    </row>
    <row r="416" spans="1:2" ht="13.9" hidden="1" x14ac:dyDescent="0.4">
      <c r="A416" t="s">
        <v>372</v>
      </c>
      <c r="B416" t="str">
        <f>IF($C$60&gt;=38,IF($C$60=38,I13+$C$37*$C$61,I13),"")</f>
        <v/>
      </c>
    </row>
    <row r="417" spans="1:2" ht="13.9" hidden="1" x14ac:dyDescent="0.4">
      <c r="A417" t="s">
        <v>371</v>
      </c>
      <c r="B417" t="str">
        <f>IF($C$60&gt;=39,IF($C$60=39,I13+$C$37*$C$61,I13),"")</f>
        <v/>
      </c>
    </row>
    <row r="418" spans="1:2" ht="13.9" hidden="1" x14ac:dyDescent="0.4">
      <c r="A418" t="s">
        <v>370</v>
      </c>
      <c r="B418" t="str">
        <f>IF($C$60&gt;=40,IF($C$60=40,I13+$C$37*$C$61,I13),"")</f>
        <v/>
      </c>
    </row>
    <row r="420" spans="1:2" ht="13.9" hidden="1" x14ac:dyDescent="0.4">
      <c r="A420" t="s">
        <v>234</v>
      </c>
    </row>
    <row r="421" spans="1:2" ht="13.9" hidden="1" x14ac:dyDescent="0.4">
      <c r="A421" t="s">
        <v>232</v>
      </c>
      <c r="B421">
        <f>-$C$37</f>
        <v>-1484</v>
      </c>
    </row>
    <row r="422" spans="1:2" ht="13.9" hidden="1" x14ac:dyDescent="0.4">
      <c r="A422" t="s">
        <v>231</v>
      </c>
      <c r="B422">
        <f>IF($C$60&gt;=1,IF($C$60=1,J13+$C$37*$C$61,J13),"")</f>
        <v>691.86</v>
      </c>
    </row>
    <row r="423" spans="1:2" ht="13.9" hidden="1" x14ac:dyDescent="0.4">
      <c r="A423" t="s">
        <v>230</v>
      </c>
      <c r="B423">
        <f>IF($C$60&gt;=2,IF($C$60=2,J13+$C$37*$C$61,J13),"")</f>
        <v>691.86</v>
      </c>
    </row>
    <row r="424" spans="1:2" ht="13.9" hidden="1" x14ac:dyDescent="0.4">
      <c r="A424" t="s">
        <v>229</v>
      </c>
      <c r="B424">
        <f>IF($C$60&gt;=3,IF($C$60=3,J13+$C$37*$C$61,J13),"")</f>
        <v>691.86</v>
      </c>
    </row>
    <row r="425" spans="1:2" ht="13.9" hidden="1" x14ac:dyDescent="0.4">
      <c r="A425" t="s">
        <v>228</v>
      </c>
      <c r="B425">
        <f>IF($C$60&gt;=4,IF($C$60=4,J13+$C$37*$C$61,J13),"")</f>
        <v>691.86</v>
      </c>
    </row>
    <row r="426" spans="1:2" ht="13.9" hidden="1" x14ac:dyDescent="0.4">
      <c r="A426" t="s">
        <v>227</v>
      </c>
      <c r="B426">
        <f>IF($C$60&gt;=5,IF($C$60=5,J13+$C$37*$C$61,J13),"")</f>
        <v>691.86</v>
      </c>
    </row>
    <row r="427" spans="1:2" ht="13.9" hidden="1" x14ac:dyDescent="0.4">
      <c r="A427" t="s">
        <v>226</v>
      </c>
      <c r="B427">
        <f>IF($C$60&gt;=6,IF($C$60=6,J13+$C$37*$C$61,J13),"")</f>
        <v>691.86</v>
      </c>
    </row>
    <row r="428" spans="1:2" ht="13.9" hidden="1" x14ac:dyDescent="0.4">
      <c r="A428" t="s">
        <v>225</v>
      </c>
      <c r="B428">
        <f>IF($C$60&gt;=7,IF($C$60=7,J13+$C$37*$C$61,J13),"")</f>
        <v>691.86</v>
      </c>
    </row>
    <row r="429" spans="1:2" ht="13.9" hidden="1" x14ac:dyDescent="0.4">
      <c r="A429" t="s">
        <v>224</v>
      </c>
      <c r="B429">
        <f>IF($C$60&gt;=8,IF($C$60=8,J13+$C$37*$C$61,J13),"")</f>
        <v>691.86</v>
      </c>
    </row>
    <row r="430" spans="1:2" ht="13.9" hidden="1" x14ac:dyDescent="0.4">
      <c r="A430" t="s">
        <v>223</v>
      </c>
      <c r="B430">
        <f>IF($C$60&gt;=9,IF($C$60=9,J13+$C$37*$C$61,J13),"")</f>
        <v>691.86</v>
      </c>
    </row>
    <row r="431" spans="1:2" ht="13.9" hidden="1" x14ac:dyDescent="0.4">
      <c r="A431" t="s">
        <v>222</v>
      </c>
      <c r="B431">
        <f>IF($C$60&gt;=10,IF($C$60=10,J13+$C$37*$C$61,J13),"")</f>
        <v>691.86</v>
      </c>
    </row>
    <row r="432" spans="1:2" ht="13.9" hidden="1" x14ac:dyDescent="0.4">
      <c r="A432" t="s">
        <v>221</v>
      </c>
      <c r="B432">
        <f>IF($C$60&gt;=11,IF($C$60=11,J13+$C$37*$C$61,J13),"")</f>
        <v>691.86</v>
      </c>
    </row>
    <row r="433" spans="1:2" ht="13.9" hidden="1" x14ac:dyDescent="0.4">
      <c r="A433" t="s">
        <v>220</v>
      </c>
      <c r="B433">
        <f>IF($C$60&gt;=12,IF($C$60=12,J13+$C$37*$C$61,J13),"")</f>
        <v>691.86</v>
      </c>
    </row>
    <row r="434" spans="1:2" ht="13.9" hidden="1" x14ac:dyDescent="0.4">
      <c r="A434" t="s">
        <v>219</v>
      </c>
      <c r="B434">
        <f>IF($C$60&gt;=13,IF($C$60=13,J13+$C$37*$C$61,J13),"")</f>
        <v>691.86</v>
      </c>
    </row>
    <row r="435" spans="1:2" ht="13.9" hidden="1" x14ac:dyDescent="0.4">
      <c r="A435" t="s">
        <v>218</v>
      </c>
      <c r="B435">
        <f>IF($C$60&gt;=14,IF($C$60=14,J13+$C$37*$C$61,J13),"")</f>
        <v>691.86</v>
      </c>
    </row>
    <row r="436" spans="1:2" ht="13.9" hidden="1" x14ac:dyDescent="0.4">
      <c r="A436" t="s">
        <v>217</v>
      </c>
      <c r="B436">
        <f>IF($C$60&gt;=15,IF($C$60=15,J13+$C$37*$C$61,J13),"")</f>
        <v>840.26</v>
      </c>
    </row>
    <row r="437" spans="1:2" ht="13.9" hidden="1" x14ac:dyDescent="0.4">
      <c r="A437" t="s">
        <v>394</v>
      </c>
      <c r="B437" t="str">
        <f>IF($C$60&gt;=16,IF($C$60=16,J13+$C$37*$C$61,J13),"")</f>
        <v/>
      </c>
    </row>
    <row r="438" spans="1:2" ht="13.9" hidden="1" x14ac:dyDescent="0.4">
      <c r="A438" t="s">
        <v>393</v>
      </c>
      <c r="B438" t="str">
        <f>IF($C$60&gt;=17,IF($C$60=17,J13+$C$37*$C$61,J13),"")</f>
        <v/>
      </c>
    </row>
    <row r="439" spans="1:2" ht="13.9" hidden="1" x14ac:dyDescent="0.4">
      <c r="A439" t="s">
        <v>392</v>
      </c>
      <c r="B439" t="str">
        <f>IF($C$60&gt;=18,IF($C$60=18,J13+$C$37*$C$61,J13),"")</f>
        <v/>
      </c>
    </row>
    <row r="440" spans="1:2" ht="13.9" hidden="1" x14ac:dyDescent="0.4">
      <c r="A440" t="s">
        <v>391</v>
      </c>
      <c r="B440" t="str">
        <f>IF($C$60&gt;=19,IF($C$60=19,J13+$C$37*$C$61,J13),"")</f>
        <v/>
      </c>
    </row>
    <row r="441" spans="1:2" ht="13.9" hidden="1" x14ac:dyDescent="0.4">
      <c r="A441" t="s">
        <v>390</v>
      </c>
      <c r="B441" t="str">
        <f>IF($C$60&gt;=20,IF($C$60=20,J13+$C$37*$C$61,J13),"")</f>
        <v/>
      </c>
    </row>
    <row r="442" spans="1:2" ht="13.9" hidden="1" x14ac:dyDescent="0.4">
      <c r="A442" t="s">
        <v>389</v>
      </c>
      <c r="B442" t="str">
        <f>IF($C$60&gt;=21,IF($C$60=21,J13+$C$37*$C$61,J13),"")</f>
        <v/>
      </c>
    </row>
    <row r="443" spans="1:2" ht="13.9" hidden="1" x14ac:dyDescent="0.4">
      <c r="A443" t="s">
        <v>388</v>
      </c>
      <c r="B443" t="str">
        <f>IF($C$60&gt;=22,IF($C$60=22,J13+$C$37*$C$61,J13),"")</f>
        <v/>
      </c>
    </row>
    <row r="444" spans="1:2" ht="13.9" hidden="1" x14ac:dyDescent="0.4">
      <c r="A444" t="s">
        <v>387</v>
      </c>
      <c r="B444" t="str">
        <f>IF($C$60&gt;=23,IF($C$60=23,J13+$C$37*$C$61,J13),"")</f>
        <v/>
      </c>
    </row>
    <row r="445" spans="1:2" ht="13.9" hidden="1" x14ac:dyDescent="0.4">
      <c r="A445" t="s">
        <v>386</v>
      </c>
      <c r="B445" t="str">
        <f>IF($C$60&gt;=24,IF($C$60=24,J13+$C$37*$C$61,J13),"")</f>
        <v/>
      </c>
    </row>
    <row r="446" spans="1:2" ht="13.9" hidden="1" x14ac:dyDescent="0.4">
      <c r="A446" t="s">
        <v>385</v>
      </c>
      <c r="B446" t="str">
        <f>IF($C$60&gt;=25,IF($C$60=25,J13+$C$37*$C$61,J13),"")</f>
        <v/>
      </c>
    </row>
    <row r="447" spans="1:2" ht="13.9" hidden="1" x14ac:dyDescent="0.4">
      <c r="A447" t="s">
        <v>384</v>
      </c>
      <c r="B447" t="str">
        <f>IF($C$60&gt;=26,IF($C$60=26,J13+$C$37*$C$61,J13),"")</f>
        <v/>
      </c>
    </row>
    <row r="448" spans="1:2" ht="13.9" hidden="1" x14ac:dyDescent="0.4">
      <c r="A448" t="s">
        <v>383</v>
      </c>
      <c r="B448" t="str">
        <f>IF($C$60&gt;=27,IF($C$60=27,J13+$C$37*$C$61,J13),"")</f>
        <v/>
      </c>
    </row>
    <row r="449" spans="1:2" ht="13.9" hidden="1" x14ac:dyDescent="0.4">
      <c r="A449" t="s">
        <v>382</v>
      </c>
      <c r="B449" t="str">
        <f>IF($C$60&gt;=28,IF($C$60=28,J13+$C$37*$C$61,J13),"")</f>
        <v/>
      </c>
    </row>
    <row r="450" spans="1:2" ht="13.9" hidden="1" x14ac:dyDescent="0.4">
      <c r="A450" t="s">
        <v>381</v>
      </c>
      <c r="B450" t="str">
        <f>IF($C$60&gt;=29,IF($C$60=29,J13+$C$37*$C$61,J13),"")</f>
        <v/>
      </c>
    </row>
    <row r="451" spans="1:2" ht="13.9" hidden="1" x14ac:dyDescent="0.4">
      <c r="A451" t="s">
        <v>380</v>
      </c>
      <c r="B451" t="str">
        <f>IF($C$60&gt;=30,IF($C$60=30,J13+$C$37*$C$61,J13),"")</f>
        <v/>
      </c>
    </row>
    <row r="452" spans="1:2" ht="13.9" hidden="1" x14ac:dyDescent="0.4">
      <c r="A452" t="s">
        <v>379</v>
      </c>
      <c r="B452" t="str">
        <f>IF($C$60&gt;=31,IF($C$60=31,J13+$C$37*$C$61,J13),"")</f>
        <v/>
      </c>
    </row>
    <row r="453" spans="1:2" ht="13.9" hidden="1" x14ac:dyDescent="0.4">
      <c r="A453" t="s">
        <v>378</v>
      </c>
      <c r="B453" t="str">
        <f>IF($C$60&gt;=32,IF($C$60=32,J13+$C$37*$C$61,J13),"")</f>
        <v/>
      </c>
    </row>
    <row r="454" spans="1:2" ht="13.9" hidden="1" x14ac:dyDescent="0.4">
      <c r="A454" t="s">
        <v>377</v>
      </c>
      <c r="B454" t="str">
        <f>IF($C$60&gt;=33,IF($C$60=33,J13+$C$37*$C$61,J13),"")</f>
        <v/>
      </c>
    </row>
    <row r="455" spans="1:2" ht="13.9" hidden="1" x14ac:dyDescent="0.4">
      <c r="A455" t="s">
        <v>376</v>
      </c>
      <c r="B455" t="str">
        <f>IF($C$60&gt;=34,IF($C$60=34,J13+$C$37*$C$61,J13),"")</f>
        <v/>
      </c>
    </row>
    <row r="456" spans="1:2" ht="13.9" hidden="1" x14ac:dyDescent="0.4">
      <c r="A456" t="s">
        <v>375</v>
      </c>
      <c r="B456" t="str">
        <f>IF($C$60&gt;=35,IF($C$60=35,J13+$C$37*$C$61,J13),"")</f>
        <v/>
      </c>
    </row>
    <row r="457" spans="1:2" ht="13.9" hidden="1" x14ac:dyDescent="0.4">
      <c r="A457" t="s">
        <v>374</v>
      </c>
      <c r="B457" t="str">
        <f>IF($C$60&gt;=36,IF($C$60=36,J13+$C$37*$C$61,J13),"")</f>
        <v/>
      </c>
    </row>
    <row r="458" spans="1:2" ht="13.9" hidden="1" x14ac:dyDescent="0.4">
      <c r="A458" t="s">
        <v>373</v>
      </c>
      <c r="B458" t="str">
        <f>IF($C$60&gt;=37,IF($C$60=37,J13+$C$37*$C$61,J13),"")</f>
        <v/>
      </c>
    </row>
    <row r="459" spans="1:2" ht="13.9" hidden="1" x14ac:dyDescent="0.4">
      <c r="A459" t="s">
        <v>372</v>
      </c>
      <c r="B459" t="str">
        <f>IF($C$60&gt;=38,IF($C$60=38,J13+$C$37*$C$61,J13),"")</f>
        <v/>
      </c>
    </row>
    <row r="460" spans="1:2" ht="13.9" hidden="1" x14ac:dyDescent="0.4">
      <c r="A460" t="s">
        <v>371</v>
      </c>
      <c r="B460" t="str">
        <f>IF($C$60&gt;=39,IF($C$60=39,J13+$C$37*$C$61,J13),"")</f>
        <v/>
      </c>
    </row>
    <row r="461" spans="1:2" ht="13.9" hidden="1" x14ac:dyDescent="0.4">
      <c r="A461" t="s">
        <v>370</v>
      </c>
      <c r="B461" t="str">
        <f>IF($C$60&gt;=40,IF($C$60=40,J13+$C$37*$C$61,J13),"")</f>
        <v/>
      </c>
    </row>
    <row r="463" spans="1:2" ht="13.9" hidden="1" x14ac:dyDescent="0.4">
      <c r="A463" t="s">
        <v>233</v>
      </c>
    </row>
    <row r="464" spans="1:2" ht="13.9" hidden="1" x14ac:dyDescent="0.4">
      <c r="A464" t="s">
        <v>232</v>
      </c>
      <c r="B464">
        <f>-$C$37</f>
        <v>-1484</v>
      </c>
    </row>
    <row r="465" spans="1:2" ht="13.9" hidden="1" x14ac:dyDescent="0.4">
      <c r="A465" t="s">
        <v>231</v>
      </c>
      <c r="B465">
        <f>IF($C$60&gt;=1,IF($C$60=1,K13+$C$37*$C$61,K13),"")</f>
        <v>758.6</v>
      </c>
    </row>
    <row r="466" spans="1:2" ht="13.9" hidden="1" x14ac:dyDescent="0.4">
      <c r="A466" t="s">
        <v>230</v>
      </c>
      <c r="B466">
        <f>IF($C$60&gt;=2,IF($C$60=2,K13+$C$37*$C$61,K13),"")</f>
        <v>758.6</v>
      </c>
    </row>
    <row r="467" spans="1:2" ht="13.9" hidden="1" x14ac:dyDescent="0.4">
      <c r="A467" t="s">
        <v>229</v>
      </c>
      <c r="B467">
        <f>IF($C$60&gt;=3,IF($C$60=3,K13+$C$37*$C$61,K13),"")</f>
        <v>758.6</v>
      </c>
    </row>
    <row r="468" spans="1:2" ht="13.9" hidden="1" x14ac:dyDescent="0.4">
      <c r="A468" t="s">
        <v>228</v>
      </c>
      <c r="B468">
        <f>IF($C$60&gt;=4,IF($C$60=4,K13+$C$37*$C$61,K13),"")</f>
        <v>758.6</v>
      </c>
    </row>
    <row r="469" spans="1:2" ht="13.9" hidden="1" x14ac:dyDescent="0.4">
      <c r="A469" t="s">
        <v>227</v>
      </c>
      <c r="B469">
        <f>IF($C$60&gt;=5,IF($C$60=5,K13+$C$37*$C$61,K13),"")</f>
        <v>758.6</v>
      </c>
    </row>
    <row r="470" spans="1:2" ht="13.9" hidden="1" x14ac:dyDescent="0.4">
      <c r="A470" t="s">
        <v>226</v>
      </c>
      <c r="B470">
        <f>IF($C$60&gt;=6,IF($C$60=6,K13+$C$37*$C$61,K13),"")</f>
        <v>758.6</v>
      </c>
    </row>
    <row r="471" spans="1:2" ht="13.9" hidden="1" x14ac:dyDescent="0.4">
      <c r="A471" t="s">
        <v>225</v>
      </c>
      <c r="B471">
        <f>IF($C$60&gt;=7,IF($C$60=7,K13+$C$37*$C$61,K13),"")</f>
        <v>758.6</v>
      </c>
    </row>
    <row r="472" spans="1:2" ht="13.9" hidden="1" x14ac:dyDescent="0.4">
      <c r="A472" t="s">
        <v>224</v>
      </c>
      <c r="B472">
        <f>IF($C$60&gt;=8,IF($C$60=8,K13+$C$37*$C$61,K13),"")</f>
        <v>758.6</v>
      </c>
    </row>
    <row r="473" spans="1:2" ht="13.9" hidden="1" x14ac:dyDescent="0.4">
      <c r="A473" t="s">
        <v>223</v>
      </c>
      <c r="B473">
        <f>IF($C$60&gt;=9,IF($C$60=9,K13+$C$37*$C$61,K13),"")</f>
        <v>758.6</v>
      </c>
    </row>
    <row r="474" spans="1:2" ht="13.9" hidden="1" x14ac:dyDescent="0.4">
      <c r="A474" t="s">
        <v>222</v>
      </c>
      <c r="B474">
        <f>IF($C$60&gt;=10,IF($C$60=10,K13+$C$37*$C$61,K13),"")</f>
        <v>758.6</v>
      </c>
    </row>
    <row r="475" spans="1:2" ht="13.9" hidden="1" x14ac:dyDescent="0.4">
      <c r="A475" t="s">
        <v>221</v>
      </c>
      <c r="B475">
        <f>IF($C$60&gt;=11,IF($C$60=11,K13+$C$37*$C$61,K13),"")</f>
        <v>758.6</v>
      </c>
    </row>
    <row r="476" spans="1:2" ht="13.9" hidden="1" x14ac:dyDescent="0.4">
      <c r="A476" t="s">
        <v>220</v>
      </c>
      <c r="B476">
        <f>IF($C$60&gt;=12,IF($C$60=12,K13+$C$37*$C$61,K13),"")</f>
        <v>758.6</v>
      </c>
    </row>
    <row r="477" spans="1:2" ht="13.9" hidden="1" x14ac:dyDescent="0.4">
      <c r="A477" t="s">
        <v>219</v>
      </c>
      <c r="B477">
        <f>IF($C$60&gt;=13,IF($C$60=13,K13+$C$37*$C$61,K13),"")</f>
        <v>758.6</v>
      </c>
    </row>
    <row r="478" spans="1:2" ht="13.9" hidden="1" x14ac:dyDescent="0.4">
      <c r="A478" t="s">
        <v>218</v>
      </c>
      <c r="B478">
        <f>IF($C$60&gt;=14,IF($C$60=14,K13+$C$37*$C$61,K13),"")</f>
        <v>758.6</v>
      </c>
    </row>
    <row r="479" spans="1:2" ht="13.9" hidden="1" x14ac:dyDescent="0.4">
      <c r="A479" t="s">
        <v>217</v>
      </c>
      <c r="B479">
        <f>IF($C$60&gt;=15,IF($C$60=15,K13+$C$37*$C$61,K13),"")</f>
        <v>907</v>
      </c>
    </row>
    <row r="480" spans="1:2" ht="13.9" hidden="1" x14ac:dyDescent="0.4">
      <c r="A480" t="s">
        <v>394</v>
      </c>
      <c r="B480" t="str">
        <f>IF($C$60&gt;=16,IF($C$60=16,K13+$C$37*$C$61,K13),"")</f>
        <v/>
      </c>
    </row>
    <row r="481" spans="1:2" ht="13.9" hidden="1" x14ac:dyDescent="0.4">
      <c r="A481" t="s">
        <v>393</v>
      </c>
      <c r="B481" t="str">
        <f>IF($C$60&gt;=17,IF($C$60=17,K13+$C$37*$C$61,K13),"")</f>
        <v/>
      </c>
    </row>
    <row r="482" spans="1:2" ht="13.9" hidden="1" x14ac:dyDescent="0.4">
      <c r="A482" t="s">
        <v>392</v>
      </c>
      <c r="B482" t="str">
        <f>IF($C$60&gt;=18,IF($C$60=18,K13+$C$37*$C$61,K13),"")</f>
        <v/>
      </c>
    </row>
    <row r="483" spans="1:2" ht="13.9" hidden="1" x14ac:dyDescent="0.4">
      <c r="A483" t="s">
        <v>391</v>
      </c>
      <c r="B483" t="str">
        <f>IF($C$60&gt;=19,IF($C$60=19,K13+$C$37*$C$61,K13),"")</f>
        <v/>
      </c>
    </row>
    <row r="484" spans="1:2" ht="13.9" hidden="1" x14ac:dyDescent="0.4">
      <c r="A484" t="s">
        <v>390</v>
      </c>
      <c r="B484" t="str">
        <f>IF($C$60&gt;=20,IF($C$60=20,K13+$C$37*$C$61,K13),"")</f>
        <v/>
      </c>
    </row>
    <row r="485" spans="1:2" ht="13.9" hidden="1" x14ac:dyDescent="0.4">
      <c r="A485" t="s">
        <v>389</v>
      </c>
      <c r="B485" t="str">
        <f>IF($C$60&gt;=21,IF($C$60=21,K13+$C$37*$C$61,K13),"")</f>
        <v/>
      </c>
    </row>
    <row r="486" spans="1:2" ht="13.9" hidden="1" x14ac:dyDescent="0.4">
      <c r="A486" t="s">
        <v>388</v>
      </c>
      <c r="B486" t="str">
        <f>IF($C$60&gt;=22,IF($C$60=22,K13+$C$37*$C$61,K13),"")</f>
        <v/>
      </c>
    </row>
    <row r="487" spans="1:2" ht="13.9" hidden="1" x14ac:dyDescent="0.4">
      <c r="A487" t="s">
        <v>387</v>
      </c>
      <c r="B487" t="str">
        <f>IF($C$60&gt;=23,IF($C$60=23,K13+$C$37*$C$61,K13),"")</f>
        <v/>
      </c>
    </row>
    <row r="488" spans="1:2" ht="13.9" hidden="1" x14ac:dyDescent="0.4">
      <c r="A488" t="s">
        <v>386</v>
      </c>
      <c r="B488" t="str">
        <f>IF($C$60&gt;=24,IF($C$60=24,K13+$C$37*$C$61,K13),"")</f>
        <v/>
      </c>
    </row>
    <row r="489" spans="1:2" ht="13.9" hidden="1" x14ac:dyDescent="0.4">
      <c r="A489" t="s">
        <v>385</v>
      </c>
      <c r="B489" t="str">
        <f>IF($C$60&gt;=25,IF($C$60=25,K13+$C$37*$C$61,K13),"")</f>
        <v/>
      </c>
    </row>
    <row r="490" spans="1:2" ht="13.9" hidden="1" x14ac:dyDescent="0.4">
      <c r="A490" t="s">
        <v>384</v>
      </c>
      <c r="B490" t="str">
        <f>IF($C$60&gt;=26,IF($C$60=26,K13+$C$37*$C$61,K13),"")</f>
        <v/>
      </c>
    </row>
    <row r="491" spans="1:2" ht="13.9" hidden="1" x14ac:dyDescent="0.4">
      <c r="A491" t="s">
        <v>383</v>
      </c>
      <c r="B491" t="str">
        <f>IF($C$60&gt;=27,IF($C$60=27,K13+$C$37*$C$61,K13),"")</f>
        <v/>
      </c>
    </row>
    <row r="492" spans="1:2" ht="13.9" hidden="1" x14ac:dyDescent="0.4">
      <c r="A492" t="s">
        <v>382</v>
      </c>
      <c r="B492" t="str">
        <f>IF($C$60&gt;=28,IF($C$60=28,K13+$C$37*$C$61,K13),"")</f>
        <v/>
      </c>
    </row>
    <row r="493" spans="1:2" ht="13.9" hidden="1" x14ac:dyDescent="0.4">
      <c r="A493" t="s">
        <v>381</v>
      </c>
      <c r="B493" t="str">
        <f>IF($C$60&gt;=29,IF($C$60=29,K13+$C$37*$C$61,K13),"")</f>
        <v/>
      </c>
    </row>
    <row r="494" spans="1:2" ht="13.9" hidden="1" x14ac:dyDescent="0.4">
      <c r="A494" t="s">
        <v>380</v>
      </c>
      <c r="B494" t="str">
        <f>IF($C$60&gt;=30,IF($C$60=30,K13+$C$37*$C$61,K13),"")</f>
        <v/>
      </c>
    </row>
    <row r="495" spans="1:2" ht="13.9" hidden="1" x14ac:dyDescent="0.4">
      <c r="A495" t="s">
        <v>379</v>
      </c>
      <c r="B495" t="str">
        <f>IF($C$60&gt;=31,IF($C$60=31,K13+$C$37*$C$61,K13),"")</f>
        <v/>
      </c>
    </row>
    <row r="496" spans="1:2" ht="13.9" hidden="1" x14ac:dyDescent="0.4">
      <c r="A496" t="s">
        <v>378</v>
      </c>
      <c r="B496" t="str">
        <f>IF($C$60&gt;=32,IF($C$60=32,K13+$C$37*$C$61,K13),"")</f>
        <v/>
      </c>
    </row>
    <row r="497" spans="1:2" ht="13.9" hidden="1" x14ac:dyDescent="0.4">
      <c r="A497" t="s">
        <v>377</v>
      </c>
      <c r="B497" t="str">
        <f>IF($C$60&gt;=33,IF($C$60=33,K13+$C$37*$C$61,K13),"")</f>
        <v/>
      </c>
    </row>
    <row r="498" spans="1:2" ht="13.9" hidden="1" x14ac:dyDescent="0.4">
      <c r="A498" t="s">
        <v>376</v>
      </c>
      <c r="B498" t="str">
        <f>IF($C$60&gt;=34,IF($C$60=34,K13+$C$37*$C$61,K13),"")</f>
        <v/>
      </c>
    </row>
    <row r="499" spans="1:2" ht="13.9" hidden="1" x14ac:dyDescent="0.4">
      <c r="A499" t="s">
        <v>375</v>
      </c>
      <c r="B499" t="str">
        <f>IF($C$60&gt;=35,IF($C$60=35,K13+$C$37*$C$61,K13),"")</f>
        <v/>
      </c>
    </row>
    <row r="500" spans="1:2" ht="13.9" hidden="1" x14ac:dyDescent="0.4">
      <c r="A500" t="s">
        <v>374</v>
      </c>
      <c r="B500" t="str">
        <f>IF($C$60&gt;=36,IF($C$60=36,K13+$C$37*$C$61,K13),"")</f>
        <v/>
      </c>
    </row>
    <row r="501" spans="1:2" ht="13.9" hidden="1" x14ac:dyDescent="0.4">
      <c r="A501" t="s">
        <v>373</v>
      </c>
      <c r="B501" t="str">
        <f>IF($C$60&gt;=37,IF($C$60=37,K13+$C$37*$C$61,K13),"")</f>
        <v/>
      </c>
    </row>
    <row r="502" spans="1:2" ht="13.9" hidden="1" x14ac:dyDescent="0.4">
      <c r="A502" t="s">
        <v>372</v>
      </c>
      <c r="B502" t="str">
        <f>IF($C$60&gt;=38,IF($C$60=38,K13+$C$37*$C$61,K13),"")</f>
        <v/>
      </c>
    </row>
    <row r="503" spans="1:2" ht="13.9" hidden="1" x14ac:dyDescent="0.4">
      <c r="A503" t="s">
        <v>371</v>
      </c>
      <c r="B503" t="str">
        <f>IF($C$60&gt;=39,IF($C$60=39,K13+$C$37*$C$61,K13),"")</f>
        <v/>
      </c>
    </row>
    <row r="504" spans="1:2" ht="13.9" hidden="1" x14ac:dyDescent="0.4">
      <c r="A504" t="s">
        <v>370</v>
      </c>
      <c r="B504" t="str">
        <f>IF($C$60&gt;=40,IF($C$60=40,K13+$C$37*$C$61,K13),"")</f>
        <v/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洛唯成本测算</vt:lpstr>
      <vt:lpstr>洛唯盈利&amp;参数 </vt:lpstr>
      <vt:lpstr>南墅成本测算 </vt:lpstr>
      <vt:lpstr>南墅盈利&amp;参数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马长豪</dc:creator>
  <cp:lastModifiedBy>长豪 马</cp:lastModifiedBy>
  <dcterms:created xsi:type="dcterms:W3CDTF">2015-06-05T18:19:34Z</dcterms:created>
  <dcterms:modified xsi:type="dcterms:W3CDTF">2025-08-19T03:18:04Z</dcterms:modified>
</cp:coreProperties>
</file>