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urchase or Rent" sheetId="1" r:id="rId3"/>
    <sheet state="visible" name="Purchase or Rent (edit variable" sheetId="2" r:id="rId4"/>
    <sheet state="visible" name="Urban Living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In Condominium units, water and garbage is included.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In Condominium units, water and garbage is included.</t>
      </text>
    </comment>
    <comment authorId="0" ref="B32">
      <text>
        <t xml:space="preserve">Changes here are reflected in the prices above.</t>
      </text>
    </comment>
    <comment authorId="0" ref="B39">
      <text>
        <t xml:space="preserve">In Condominium units, water and garbage is included.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1">
      <text>
        <t xml:space="preserve">https://www.acgov.org/ptax_pub_app/RealSearch.do
	-Jarvin Bayona</t>
      </text>
    </comment>
    <comment authorId="0" ref="B21">
      <text>
        <t xml:space="preserve">https://www.ftb.ca.gov/individuals/faq/ivr/203.shtml
	-Jarvin Bayona</t>
      </text>
    </comment>
    <comment authorId="0" ref="D18">
      <text>
        <t xml:space="preserve">Basic Opporunity Cost with a 5% inflation rate
	-Jarvin Bayona</t>
      </text>
    </comment>
    <comment authorId="0" ref="D17">
      <text>
        <t xml:space="preserve">Property Tax in Fremont is .866%
	-Jarvin Bayona</t>
      </text>
    </comment>
    <comment authorId="0" ref="D16">
      <text>
        <t xml:space="preserve">Estimated Maintenance cost of 2% per year
	-Jarvin Bayona</t>
      </text>
    </comment>
    <comment authorId="0" ref="D10">
      <text>
        <t xml:space="preserve">(We're not gonna skimp out on good internet)
	-Jarvin Bayona</t>
      </text>
    </comment>
    <comment authorId="0" ref="D3">
      <text>
        <t xml:space="preserve">Use a 4.5% for a conservative rate
	-Jarvin Bayona</t>
      </text>
    </comment>
  </commentList>
</comments>
</file>

<file path=xl/sharedStrings.xml><?xml version="1.0" encoding="utf-8"?>
<sst xmlns="http://schemas.openxmlformats.org/spreadsheetml/2006/main" count="202" uniqueCount="88">
  <si>
    <t>Purchasing: 37446, Parish Circle #8B, Fremont, CA 94536</t>
  </si>
  <si>
    <t>Renting: 37483 Parish Circle, Fremont, CA 94536</t>
  </si>
  <si>
    <t>Costs Applied With Interest</t>
  </si>
  <si>
    <t>Year 1</t>
  </si>
  <si>
    <t>Year 2</t>
  </si>
  <si>
    <t>Year 3</t>
  </si>
  <si>
    <t>Year 4</t>
  </si>
  <si>
    <t>Year 5</t>
  </si>
  <si>
    <t>Total</t>
  </si>
  <si>
    <t>Mortgage (Principal &amp; Interest)</t>
  </si>
  <si>
    <t>Rent</t>
  </si>
  <si>
    <t>37483 Parish Circle, Fremont, CA 94536 (2bed,2bath)</t>
  </si>
  <si>
    <t>Renting</t>
  </si>
  <si>
    <t>Purchasing</t>
  </si>
  <si>
    <t>37446 Parish Circle, Fremont, CA 94536 (2bed,2bath)</t>
  </si>
  <si>
    <t>Data Pulled From:</t>
  </si>
  <si>
    <t>Purchase Price</t>
  </si>
  <si>
    <t>https://www.zillow.com/homes/for_sale/Fremont-CA/fsba,fsbo,fore,cmsn_lt/condo_type/25015126_zpid/11540_rid/2-_beds/beds_sort/37.653791,-121.836147,37.418027,-122.205219_rect/11_zm/0_mmm/</t>
  </si>
  <si>
    <t>Internet</t>
  </si>
  <si>
    <t>Deposit (Refundable)</t>
  </si>
  <si>
    <t>Closing Cost</t>
  </si>
  <si>
    <t>Down Payment</t>
  </si>
  <si>
    <t>https://hotpads.com/37483-parish-cir-fremont-ca-94536-u0wvxr/pad?lat=37.5539&amp;lon=-122.0802&amp;propertyTypes=condo&amp;z=12</t>
  </si>
  <si>
    <t>Annual Interest Rate</t>
  </si>
  <si>
    <t>https://www.highspeedinternet.com/ca/fremont</t>
  </si>
  <si>
    <t>Term of Loan in Years</t>
  </si>
  <si>
    <t>https://www.electricitylocal.com/states/california/fremont/</t>
  </si>
  <si>
    <t>Weighted Median Rent</t>
  </si>
  <si>
    <t>https://www.acwd.org/rates</t>
  </si>
  <si>
    <t>Down payment or Deposit</t>
  </si>
  <si>
    <t>http://www.wm.com/location/california/bay_area/castrovalley/residential/rates.jsp</t>
  </si>
  <si>
    <t>Monthly Fees (Year 1)</t>
  </si>
  <si>
    <t>Interest Rates</t>
  </si>
  <si>
    <t>https://www.trulia.com/real_estate/Fremont-California/market-trends/</t>
  </si>
  <si>
    <t>Electricity</t>
  </si>
  <si>
    <t>Monthly Mortgage (Principal &amp; Interest)</t>
  </si>
  <si>
    <t>Annual Rate Per Month</t>
  </si>
  <si>
    <t>Appreciation Rate</t>
  </si>
  <si>
    <t>https://smartasset.com/taxes/alameda-county-california-property-tax-calculator#STqMIQyN6j</t>
  </si>
  <si>
    <t>Payment Per Period</t>
  </si>
  <si>
    <t>Closing Costs/ Inspections/ Commissions</t>
  </si>
  <si>
    <t>https://www.acgov.org/ptax_pub_app/RealSearch.do</t>
  </si>
  <si>
    <t>Tax Advantages</t>
  </si>
  <si>
    <t>Gas</t>
  </si>
  <si>
    <t>Opportunity Costs</t>
  </si>
  <si>
    <t>Plumbing</t>
  </si>
  <si>
    <t>Inflation Rate</t>
  </si>
  <si>
    <t>Garbage</t>
  </si>
  <si>
    <t>Renter's Insurance</t>
  </si>
  <si>
    <t>Homeowner's Insurance</t>
  </si>
  <si>
    <t>Maintenance</t>
  </si>
  <si>
    <t>Water</t>
  </si>
  <si>
    <t>-</t>
  </si>
  <si>
    <t>Property Tax</t>
  </si>
  <si>
    <t>Home Owner's Insurance</t>
  </si>
  <si>
    <t>Opportunity Cost</t>
  </si>
  <si>
    <t>HOA</t>
  </si>
  <si>
    <t>Tax Advantages/ Deductions (Annual)</t>
  </si>
  <si>
    <t>Renter's Tax Credit</t>
  </si>
  <si>
    <t>Personal Property Tax</t>
  </si>
  <si>
    <t>Home Warranty Insurance</t>
  </si>
  <si>
    <t>One Time Cost</t>
  </si>
  <si>
    <t>Tax Advantages/ Deductions</t>
  </si>
  <si>
    <t>Estimated Fed &amp; State Savings</t>
  </si>
  <si>
    <t>5 Year Total Expense</t>
  </si>
  <si>
    <t>Property Value</t>
  </si>
  <si>
    <t>Sale of Property after 5 years</t>
  </si>
  <si>
    <t>Gain on Sale</t>
  </si>
  <si>
    <t>Bottom Line (5 year total - Gain on Sale)</t>
  </si>
  <si>
    <t>Analysis: Purchasing the condo has a bottom line cost of $116,600.38.</t>
  </si>
  <si>
    <t>This is in comparison to renting a similar condo which has a total cost of $179,151.06.</t>
  </si>
  <si>
    <r>
      <t xml:space="preserve">By </t>
    </r>
    <r>
      <rPr>
        <b/>
        <u/>
      </rPr>
      <t>purchasing</t>
    </r>
    <r>
      <rPr>
        <b/>
      </rPr>
      <t xml:space="preserve"> </t>
    </r>
    <r>
      <t xml:space="preserve">the home, you have save a value of </t>
    </r>
    <r>
      <rPr>
        <b/>
      </rPr>
      <t>$65,550.67</t>
    </r>
  </si>
  <si>
    <t>Sources</t>
  </si>
  <si>
    <t>Comments: A few assumptions were made in creating this table of information.</t>
  </si>
  <si>
    <t>Many of the variables that are commonly changed can be manipulated on the next sheet.</t>
  </si>
  <si>
    <t>I would have liked to have more data available to me in terms of figuring out some values and comparing them.</t>
  </si>
  <si>
    <t>Specifically, if I had a database of values for all the state advantages, I could pick a more specific number than just $8k</t>
  </si>
  <si>
    <t>In the third sheet, you can see I used the PMT function to calculate how much the monthly premium should cost for purchasing</t>
  </si>
  <si>
    <t>I must admit this is an interesting problem, since I had never given thought at all to purchasing a home</t>
  </si>
  <si>
    <t>If I had more time and understanding, I would have been able to change the 2nd sheet to be able to give different analytical blurbs depending on if the rent or purchase was more benefficial.</t>
  </si>
  <si>
    <t>Other minute data like moving fees and furnishings may also affect this slightly:</t>
  </si>
  <si>
    <t>If you were to move into a space for purchase, you are more likely to add furnishings than if you were just renting.</t>
  </si>
  <si>
    <t>This results in a minor increase in the bottom line cost for purchasing the unit.</t>
  </si>
  <si>
    <t>It's interesting to see that in the 5 year chunk, decreasing the rent by a couple hundred dollars would result in both options being equally viable.</t>
  </si>
  <si>
    <t>Inflation</t>
  </si>
  <si>
    <t>House Appreciation Rate</t>
  </si>
  <si>
    <t>Payment Per Period =</t>
  </si>
  <si>
    <t>Monthly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</si>
</sst>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0.000%"/>
  </numFmts>
  <fonts count="8">
    <font>
      <sz val="10.0"/>
      <color rgb="FF000000"/>
      <name val="Arial"/>
    </font>
    <font>
      <b/>
      <sz val="14.0"/>
    </font>
    <font/>
    <font>
      <b/>
    </font>
    <font>
      <sz val="10.0"/>
    </font>
    <font>
      <b/>
      <sz val="24.0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E98E86"/>
        <bgColor rgb="FFE98E86"/>
      </patternFill>
    </fill>
    <fill>
      <patternFill patternType="solid">
        <fgColor rgb="FF61BF91"/>
        <bgColor rgb="FF61BF91"/>
      </patternFill>
    </fill>
    <fill>
      <patternFill patternType="solid">
        <fgColor rgb="FFB7E1CD"/>
        <bgColor rgb="FFB7E1CD"/>
      </patternFill>
    </fill>
    <fill>
      <patternFill patternType="solid">
        <fgColor rgb="FFFCEDEC"/>
        <bgColor rgb="FFFCEDEC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</border>
    <border>
      <left style="thick">
        <color rgb="FF000000"/>
      </left>
      <right style="thick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164" xfId="0" applyAlignment="1" applyBorder="1" applyFont="1" applyNumberFormat="1">
      <alignment readingOrder="0"/>
    </xf>
    <xf borderId="2" fillId="0" fontId="2" numFmtId="164" xfId="0" applyAlignment="1" applyBorder="1" applyFont="1" applyNumberFormat="1">
      <alignment readingOrder="0"/>
    </xf>
    <xf borderId="3" fillId="0" fontId="2" numFmtId="164" xfId="0" applyBorder="1" applyFont="1" applyNumberFormat="1"/>
    <xf borderId="4" fillId="0" fontId="4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2" fillId="0" fontId="2" numFmtId="164" xfId="0" applyBorder="1" applyFont="1" applyNumberFormat="1"/>
    <xf borderId="6" fillId="0" fontId="2" numFmtId="0" xfId="0" applyBorder="1" applyFont="1"/>
    <xf borderId="0" fillId="0" fontId="5" numFmtId="0" xfId="0" applyAlignment="1" applyFont="1">
      <alignment readingOrder="0"/>
    </xf>
    <xf borderId="3" fillId="0" fontId="2" numFmtId="164" xfId="0" applyBorder="1" applyFont="1" applyNumberFormat="1"/>
    <xf borderId="0" fillId="0" fontId="6" numFmtId="0" xfId="0" applyAlignment="1" applyFont="1">
      <alignment readingOrder="0"/>
    </xf>
    <xf borderId="7" fillId="0" fontId="2" numFmtId="164" xfId="0" applyAlignment="1" applyBorder="1" applyFont="1" applyNumberFormat="1">
      <alignment readingOrder="0"/>
    </xf>
    <xf borderId="0" fillId="0" fontId="2" numFmtId="164" xfId="0" applyFont="1" applyNumberFormat="1"/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8" fillId="0" fontId="2" numFmtId="164" xfId="0" applyBorder="1" applyFont="1" applyNumberFormat="1"/>
    <xf borderId="9" fillId="0" fontId="2" numFmtId="0" xfId="0" applyAlignment="1" applyBorder="1" applyFont="1">
      <alignment readingOrder="0"/>
    </xf>
    <xf borderId="9" fillId="0" fontId="2" numFmtId="0" xfId="0" applyBorder="1" applyFont="1"/>
    <xf borderId="9" fillId="0" fontId="2" numFmtId="10" xfId="0" applyAlignment="1" applyBorder="1" applyFont="1" applyNumberFormat="1">
      <alignment readingOrder="0"/>
    </xf>
    <xf borderId="9" fillId="0" fontId="7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8" fillId="0" fontId="2" numFmtId="0" xfId="0" applyBorder="1" applyFont="1"/>
    <xf borderId="0" fillId="0" fontId="2" numFmtId="164" xfId="0" applyAlignment="1" applyFont="1" applyNumberFormat="1">
      <alignment readingOrder="0"/>
    </xf>
    <xf borderId="7" fillId="0" fontId="2" numFmtId="164" xfId="0" applyAlignment="1" applyBorder="1" applyFont="1" applyNumberFormat="1">
      <alignment readingOrder="0"/>
    </xf>
    <xf borderId="8" fillId="0" fontId="2" numFmtId="164" xfId="0" applyBorder="1" applyFont="1" applyNumberFormat="1"/>
    <xf borderId="0" fillId="0" fontId="3" numFmtId="0" xfId="0" applyFont="1"/>
    <xf borderId="7" fillId="0" fontId="2" numFmtId="0" xfId="0" applyBorder="1" applyFont="1"/>
    <xf borderId="7" fillId="0" fontId="2" numFmtId="164" xfId="0" applyBorder="1" applyFont="1" applyNumberFormat="1"/>
    <xf borderId="8" fillId="0" fontId="2" numFmtId="165" xfId="0" applyAlignment="1" applyBorder="1" applyFont="1" applyNumberFormat="1">
      <alignment readingOrder="0"/>
    </xf>
    <xf borderId="8" fillId="0" fontId="2" numFmtId="164" xfId="0" applyAlignment="1" applyBorder="1" applyFont="1" applyNumberFormat="1">
      <alignment readingOrder="0"/>
    </xf>
    <xf borderId="10" fillId="0" fontId="2" numFmtId="165" xfId="0" applyAlignment="1" applyBorder="1" applyFont="1" applyNumberFormat="1">
      <alignment readingOrder="0"/>
    </xf>
    <xf borderId="9" fillId="0" fontId="2" numFmtId="165" xfId="0" applyAlignment="1" applyBorder="1" applyFont="1" applyNumberFormat="1">
      <alignment readingOrder="0"/>
    </xf>
    <xf borderId="11" fillId="0" fontId="2" numFmtId="165" xfId="0" applyBorder="1" applyFont="1" applyNumberFormat="1"/>
    <xf borderId="10" fillId="0" fontId="2" numFmtId="164" xfId="0" applyAlignment="1" applyBorder="1" applyFont="1" applyNumberFormat="1">
      <alignment readingOrder="0"/>
    </xf>
    <xf borderId="9" fillId="0" fontId="2" numFmtId="164" xfId="0" applyAlignment="1" applyBorder="1" applyFont="1" applyNumberFormat="1">
      <alignment readingOrder="0"/>
    </xf>
    <xf borderId="11" fillId="0" fontId="2" numFmtId="164" xfId="0" applyAlignment="1" applyBorder="1" applyFont="1" applyNumberFormat="1">
      <alignment readingOrder="0"/>
    </xf>
    <xf borderId="12" fillId="0" fontId="2" numFmtId="164" xfId="0" applyBorder="1" applyFont="1" applyNumberFormat="1"/>
    <xf borderId="8" fillId="2" fontId="2" numFmtId="164" xfId="0" applyAlignment="1" applyBorder="1" applyFill="1" applyFont="1" applyNumberFormat="1">
      <alignment readingOrder="0"/>
    </xf>
    <xf borderId="8" fillId="3" fontId="2" numFmtId="164" xfId="0" applyAlignment="1" applyBorder="1" applyFill="1" applyFont="1" applyNumberFormat="1">
      <alignment readingOrder="0"/>
    </xf>
    <xf borderId="8" fillId="4" fontId="2" numFmtId="164" xfId="0" applyBorder="1" applyFill="1" applyFont="1" applyNumberFormat="1"/>
    <xf borderId="12" fillId="5" fontId="2" numFmtId="164" xfId="0" applyBorder="1" applyFill="1" applyFont="1" applyNumberFormat="1"/>
    <xf borderId="1" fillId="6" fontId="2" numFmtId="0" xfId="0" applyAlignment="1" applyBorder="1" applyFill="1" applyFont="1">
      <alignment readingOrder="0"/>
    </xf>
    <xf borderId="2" fillId="0" fontId="2" numFmtId="0" xfId="0" applyBorder="1" applyFont="1"/>
    <xf borderId="13" fillId="0" fontId="2" numFmtId="0" xfId="0" applyBorder="1" applyFont="1"/>
    <xf borderId="7" fillId="6" fontId="2" numFmtId="0" xfId="0" applyAlignment="1" applyBorder="1" applyFont="1">
      <alignment readingOrder="0"/>
    </xf>
    <xf borderId="14" fillId="0" fontId="2" numFmtId="0" xfId="0" applyBorder="1" applyFont="1"/>
    <xf borderId="10" fillId="6" fontId="2" numFmtId="0" xfId="0" applyAlignment="1" applyBorder="1" applyFont="1">
      <alignment readingOrder="0"/>
    </xf>
    <xf borderId="15" fillId="0" fontId="2" numFmtId="0" xfId="0" applyBorder="1" applyFont="1"/>
    <xf borderId="16" fillId="7" fontId="2" numFmtId="0" xfId="0" applyAlignment="1" applyBorder="1" applyFill="1" applyFont="1">
      <alignment readingOrder="0"/>
    </xf>
    <xf borderId="17" fillId="0" fontId="2" numFmtId="0" xfId="0" applyBorder="1" applyFont="1"/>
    <xf borderId="18" fillId="0" fontId="2" numFmtId="0" xfId="0" applyBorder="1" applyFont="1"/>
    <xf borderId="19" fillId="7" fontId="2" numFmtId="0" xfId="0" applyAlignment="1" applyBorder="1" applyFont="1">
      <alignment readingOrder="0"/>
    </xf>
    <xf borderId="20" fillId="0" fontId="2" numFmtId="0" xfId="0" applyBorder="1" applyFont="1"/>
    <xf borderId="21" fillId="7" fontId="2" numFmtId="0" xfId="0" applyAlignment="1" applyBorder="1" applyFont="1">
      <alignment readingOrder="0"/>
    </xf>
    <xf borderId="22" fillId="0" fontId="2" numFmtId="0" xfId="0" applyBorder="1" applyFont="1"/>
    <xf borderId="23" fillId="0" fontId="2" numFmtId="0" xfId="0" applyBorder="1" applyFont="1"/>
    <xf borderId="7" fillId="0" fontId="2" numFmtId="165" xfId="0" applyAlignment="1" applyBorder="1" applyFont="1" applyNumberFormat="1">
      <alignment horizontal="center" readingOrder="0"/>
    </xf>
    <xf borderId="8" fillId="0" fontId="2" numFmtId="165" xfId="0" applyBorder="1" applyFont="1" applyNumberFormat="1"/>
    <xf borderId="7" fillId="0" fontId="2" numFmtId="164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8" fontId="2" numFmtId="0" xfId="0" applyAlignment="1" applyFill="1" applyFont="1">
      <alignment readingOrder="0"/>
    </xf>
    <xf borderId="24" fillId="9" fontId="3" numFmtId="0" xfId="0" applyAlignment="1" applyBorder="1" applyFill="1" applyFont="1">
      <alignment readingOrder="0"/>
    </xf>
    <xf borderId="25" fillId="9" fontId="3" numFmtId="10" xfId="0" applyAlignment="1" applyBorder="1" applyFont="1" applyNumberFormat="1">
      <alignment readingOrder="0"/>
    </xf>
    <xf borderId="26" fillId="9" fontId="3" numFmtId="0" xfId="0" applyAlignment="1" applyBorder="1" applyFont="1">
      <alignment readingOrder="0"/>
    </xf>
    <xf borderId="27" fillId="9" fontId="3" numFmtId="10" xfId="0" applyAlignment="1" applyBorder="1" applyFont="1" applyNumberFormat="1">
      <alignment readingOrder="0"/>
    </xf>
    <xf borderId="28" fillId="9" fontId="3" numFmtId="0" xfId="0" applyAlignment="1" applyBorder="1" applyFont="1">
      <alignment readingOrder="0"/>
    </xf>
    <xf borderId="29" fillId="9" fontId="3" numFmtId="166" xfId="0" applyAlignment="1" applyBorder="1" applyFont="1" applyNumberFormat="1">
      <alignment readingOrder="0"/>
    </xf>
    <xf borderId="4" fillId="9" fontId="3" numFmtId="0" xfId="0" applyAlignment="1" applyBorder="1" applyFont="1">
      <alignment readingOrder="0"/>
    </xf>
    <xf borderId="6" fillId="9" fontId="2" numFmtId="0" xfId="0" applyBorder="1" applyFont="1"/>
    <xf borderId="27" fillId="9" fontId="3" numFmtId="165" xfId="0" applyAlignment="1" applyBorder="1" applyFont="1" applyNumberFormat="1">
      <alignment readingOrder="0"/>
    </xf>
    <xf borderId="29" fillId="9" fontId="3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zillow.com/homes/for_sale/Fremont-CA/fsba,fsbo,fore,cmsn_lt/condo_type/25015126_zpid/11540_rid/2-_beds/beds_sort/37.653791,-121.836147,37.418027,-122.205219_rect/11_zm/0_mmm/" TargetMode="External"/><Relationship Id="rId3" Type="http://schemas.openxmlformats.org/officeDocument/2006/relationships/hyperlink" Target="https://hotpads.com/37483-parish-cir-fremont-ca-94536-u0wvxr/pad?lat=37.5539&amp;lon=-122.0802&amp;propertyTypes=condo&amp;z=12" TargetMode="External"/><Relationship Id="rId4" Type="http://schemas.openxmlformats.org/officeDocument/2006/relationships/hyperlink" Target="https://www.highspeedinternet.com/ca/fremont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acgov.org/ptax_pub_app/RealSearch.do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smartasset.com/taxes/alameda-county-california-property-tax-calculator" TargetMode="External"/><Relationship Id="rId5" Type="http://schemas.openxmlformats.org/officeDocument/2006/relationships/hyperlink" Target="https://www.electricitylocal.com/states/california/fremont/" TargetMode="External"/><Relationship Id="rId6" Type="http://schemas.openxmlformats.org/officeDocument/2006/relationships/hyperlink" Target="https://www.acwd.org/rates" TargetMode="External"/><Relationship Id="rId7" Type="http://schemas.openxmlformats.org/officeDocument/2006/relationships/hyperlink" Target="http://www.wm.com/location/california/bay_area/castrovalley/residential/rates.jsp" TargetMode="External"/><Relationship Id="rId8" Type="http://schemas.openxmlformats.org/officeDocument/2006/relationships/hyperlink" Target="https://www.trulia.com/real_estate/Fremont-California/market-trend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zillow.com/homes/for_sale/Fremont-CA/fsba,fsbo,fore,cmsn_lt/condo_type/25015126_zpid/11540_rid/2-_beds/beds_sort/37.653791,-121.836147,37.418027,-122.205219_rect/11_zm/0_mmm/" TargetMode="External"/><Relationship Id="rId3" Type="http://schemas.openxmlformats.org/officeDocument/2006/relationships/hyperlink" Target="https://hotpads.com/37483-parish-cir-fremont-ca-94536-u0wvxr/pad?lat=37.5539&amp;lon=-122.0802&amp;propertyTypes=condo&amp;z=12" TargetMode="External"/><Relationship Id="rId4" Type="http://schemas.openxmlformats.org/officeDocument/2006/relationships/hyperlink" Target="https://www.highspeedinternet.com/ca/fremont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ww.acgov.org/ptax_pub_app/RealSearch.do" TargetMode="External"/><Relationship Id="rId12" Type="http://schemas.openxmlformats.org/officeDocument/2006/relationships/vmlDrawing" Target="../drawings/vmlDrawing2.vml"/><Relationship Id="rId9" Type="http://schemas.openxmlformats.org/officeDocument/2006/relationships/hyperlink" Target="https://smartasset.com/taxes/alameda-county-california-property-tax-calculator" TargetMode="External"/><Relationship Id="rId5" Type="http://schemas.openxmlformats.org/officeDocument/2006/relationships/hyperlink" Target="https://www.electricitylocal.com/states/california/fremont/" TargetMode="External"/><Relationship Id="rId6" Type="http://schemas.openxmlformats.org/officeDocument/2006/relationships/hyperlink" Target="https://www.acwd.org/rates" TargetMode="External"/><Relationship Id="rId7" Type="http://schemas.openxmlformats.org/officeDocument/2006/relationships/hyperlink" Target="http://www.wm.com/location/california/bay_area/castrovalley/residential/rates.jsp" TargetMode="External"/><Relationship Id="rId8" Type="http://schemas.openxmlformats.org/officeDocument/2006/relationships/hyperlink" Target="https://www.trulia.com/real_estate/Fremont-California/market-trends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www.zillow.com/homes/for_sale/Fremont-CA/fsba,fsbo,fore,cmsn_lt/condo_type/25015126_zpid/11540_rid/2-_beds/beds_sort/37.653791,-121.836147,37.418027,-122.205219_rect/11_zm/0_mmm/" TargetMode="External"/><Relationship Id="rId3" Type="http://schemas.openxmlformats.org/officeDocument/2006/relationships/hyperlink" Target="https://hotpads.com/37483-parish-cir-fremont-ca-94536-u0wvxr/pad?lat=37.5539&amp;lon=-122.0802&amp;propertyTypes=condo&amp;z=12" TargetMode="External"/><Relationship Id="rId4" Type="http://schemas.openxmlformats.org/officeDocument/2006/relationships/hyperlink" Target="https://www.highspeedinternet.com/ca/fremont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www.acgov.org/ptax_pub_app/RealSearch.do" TargetMode="External"/><Relationship Id="rId12" Type="http://schemas.openxmlformats.org/officeDocument/2006/relationships/vmlDrawing" Target="../drawings/vmlDrawing3.vml"/><Relationship Id="rId9" Type="http://schemas.openxmlformats.org/officeDocument/2006/relationships/hyperlink" Target="https://smartasset.com/taxes/alameda-county-california-property-tax-calculator" TargetMode="External"/><Relationship Id="rId5" Type="http://schemas.openxmlformats.org/officeDocument/2006/relationships/hyperlink" Target="https://www.electricitylocal.com/states/california/fremont/" TargetMode="External"/><Relationship Id="rId6" Type="http://schemas.openxmlformats.org/officeDocument/2006/relationships/hyperlink" Target="https://www.acwd.org/rates" TargetMode="External"/><Relationship Id="rId7" Type="http://schemas.openxmlformats.org/officeDocument/2006/relationships/hyperlink" Target="http://www.wm.com/location/california/bay_area/castrovalley/residential/rates.jsp" TargetMode="External"/><Relationship Id="rId8" Type="http://schemas.openxmlformats.org/officeDocument/2006/relationships/hyperlink" Target="https://www.trulia.com/real_estate/Fremont-California/market-tre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2.0"/>
    <col customWidth="1" min="2" max="2" width="28.86"/>
    <col customWidth="1" min="10" max="10" width="18.29"/>
  </cols>
  <sheetData>
    <row r="1">
      <c r="C1" s="1" t="s">
        <v>0</v>
      </c>
      <c r="K1" s="1" t="s">
        <v>1</v>
      </c>
    </row>
    <row r="3">
      <c r="A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K3" s="3" t="s">
        <v>3</v>
      </c>
      <c r="L3" s="3" t="s">
        <v>4</v>
      </c>
      <c r="M3" s="3" t="s">
        <v>5</v>
      </c>
      <c r="N3" s="3" t="s">
        <v>6</v>
      </c>
      <c r="O3" s="3" t="s">
        <v>7</v>
      </c>
      <c r="P3" s="3" t="s">
        <v>8</v>
      </c>
    </row>
    <row r="4">
      <c r="B4" s="3" t="s">
        <v>9</v>
      </c>
      <c r="C4" s="4">
        <f t="shared" ref="C4:G4" si="1">3175.25*12</f>
        <v>38103</v>
      </c>
      <c r="D4" s="5">
        <f t="shared" si="1"/>
        <v>38103</v>
      </c>
      <c r="E4" s="5">
        <f t="shared" si="1"/>
        <v>38103</v>
      </c>
      <c r="F4" s="5">
        <f t="shared" si="1"/>
        <v>38103</v>
      </c>
      <c r="G4" s="5">
        <f t="shared" si="1"/>
        <v>38103</v>
      </c>
      <c r="H4" s="6">
        <f t="shared" ref="H4:H13" si="4">SUM(C4:G4)</f>
        <v>190515</v>
      </c>
      <c r="J4" s="3" t="s">
        <v>10</v>
      </c>
      <c r="K4" s="8">
        <f>2475*12</f>
        <v>29700</v>
      </c>
      <c r="L4" s="11">
        <f t="shared" ref="L4:O4" si="2">K4*1.025</f>
        <v>30442.5</v>
      </c>
      <c r="M4" s="11">
        <f t="shared" si="2"/>
        <v>31203.5625</v>
      </c>
      <c r="N4" s="11">
        <f t="shared" si="2"/>
        <v>31983.65156</v>
      </c>
      <c r="O4" s="11">
        <f t="shared" si="2"/>
        <v>32783.24285</v>
      </c>
      <c r="P4" s="14">
        <f t="shared" ref="P4:P7" si="6">SUM(K4:O4)</f>
        <v>156112.9569</v>
      </c>
    </row>
    <row r="5">
      <c r="B5" s="3" t="s">
        <v>18</v>
      </c>
      <c r="C5" s="16">
        <f>90*12</f>
        <v>1080</v>
      </c>
      <c r="D5" s="18">
        <f t="shared" ref="D5:G5" si="3">C5*1.025</f>
        <v>1107</v>
      </c>
      <c r="E5" s="18">
        <f t="shared" si="3"/>
        <v>1134.675</v>
      </c>
      <c r="F5" s="18">
        <f t="shared" si="3"/>
        <v>1163.041875</v>
      </c>
      <c r="G5" s="18">
        <f t="shared" si="3"/>
        <v>1192.117922</v>
      </c>
      <c r="H5" s="21">
        <f t="shared" si="4"/>
        <v>5676.834797</v>
      </c>
      <c r="J5" s="3" t="s">
        <v>18</v>
      </c>
      <c r="K5" s="16">
        <f>90*12</f>
        <v>1080</v>
      </c>
      <c r="L5" s="18">
        <f t="shared" ref="L5:O5" si="5">K5*1.025</f>
        <v>1107</v>
      </c>
      <c r="M5" s="18">
        <f t="shared" si="5"/>
        <v>1134.675</v>
      </c>
      <c r="N5" s="18">
        <f t="shared" si="5"/>
        <v>1163.041875</v>
      </c>
      <c r="O5" s="18">
        <f t="shared" si="5"/>
        <v>1192.117922</v>
      </c>
      <c r="P5" s="21">
        <f t="shared" si="6"/>
        <v>5676.834797</v>
      </c>
    </row>
    <row r="6">
      <c r="B6" s="3" t="s">
        <v>34</v>
      </c>
      <c r="C6" s="16">
        <f>150*12
</f>
        <v>1800</v>
      </c>
      <c r="D6" s="18">
        <f t="shared" ref="D6:G6" si="7">C6*1.025</f>
        <v>1845</v>
      </c>
      <c r="E6" s="18">
        <f t="shared" si="7"/>
        <v>1891.125</v>
      </c>
      <c r="F6" s="18">
        <f t="shared" si="7"/>
        <v>1938.403125</v>
      </c>
      <c r="G6" s="18">
        <f t="shared" si="7"/>
        <v>1986.863203</v>
      </c>
      <c r="H6" s="21">
        <f t="shared" si="4"/>
        <v>9461.391328</v>
      </c>
      <c r="J6" s="3" t="s">
        <v>34</v>
      </c>
      <c r="K6" s="16">
        <f>150*12
</f>
        <v>1800</v>
      </c>
      <c r="L6" s="18">
        <f t="shared" ref="L6:O6" si="8">K6*1.025</f>
        <v>1845</v>
      </c>
      <c r="M6" s="18">
        <f t="shared" si="8"/>
        <v>1891.125</v>
      </c>
      <c r="N6" s="18">
        <f t="shared" si="8"/>
        <v>1938.403125</v>
      </c>
      <c r="O6" s="18">
        <f t="shared" si="8"/>
        <v>1986.863203</v>
      </c>
      <c r="P6" s="21">
        <f t="shared" si="6"/>
        <v>9461.391328</v>
      </c>
    </row>
    <row r="7">
      <c r="B7" s="3" t="s">
        <v>43</v>
      </c>
      <c r="C7" s="16">
        <f>110*12</f>
        <v>1320</v>
      </c>
      <c r="D7" s="18">
        <f t="shared" ref="D7:G7" si="9">C7*1.025</f>
        <v>1353</v>
      </c>
      <c r="E7" s="18">
        <f t="shared" si="9"/>
        <v>1386.825</v>
      </c>
      <c r="F7" s="18">
        <f t="shared" si="9"/>
        <v>1421.495625</v>
      </c>
      <c r="G7" s="18">
        <f t="shared" si="9"/>
        <v>1457.033016</v>
      </c>
      <c r="H7" s="21">
        <f t="shared" si="4"/>
        <v>6938.353641</v>
      </c>
      <c r="J7" s="3" t="s">
        <v>43</v>
      </c>
      <c r="K7" s="16">
        <f>110*12</f>
        <v>1320</v>
      </c>
      <c r="L7" s="18">
        <f t="shared" ref="L7:O7" si="10">K7*1.025</f>
        <v>1353</v>
      </c>
      <c r="M7" s="18">
        <f t="shared" si="10"/>
        <v>1386.825</v>
      </c>
      <c r="N7" s="18">
        <f t="shared" si="10"/>
        <v>1421.495625</v>
      </c>
      <c r="O7" s="18">
        <f t="shared" si="10"/>
        <v>1457.033016</v>
      </c>
      <c r="P7" s="21">
        <f t="shared" si="6"/>
        <v>6938.353641</v>
      </c>
    </row>
    <row r="8">
      <c r="B8" s="3" t="s">
        <v>51</v>
      </c>
      <c r="C8" s="28" t="s">
        <v>52</v>
      </c>
      <c r="D8" s="29" t="s">
        <v>52</v>
      </c>
      <c r="E8" s="29" t="s">
        <v>52</v>
      </c>
      <c r="F8" s="29" t="s">
        <v>52</v>
      </c>
      <c r="G8" s="29" t="s">
        <v>52</v>
      </c>
      <c r="H8" s="30">
        <f t="shared" si="4"/>
        <v>0</v>
      </c>
      <c r="J8" s="3" t="s">
        <v>51</v>
      </c>
      <c r="K8" s="28" t="s">
        <v>52</v>
      </c>
      <c r="L8" s="29" t="s">
        <v>52</v>
      </c>
      <c r="M8" s="29" t="s">
        <v>52</v>
      </c>
      <c r="N8" s="29" t="s">
        <v>52</v>
      </c>
      <c r="O8" s="29" t="s">
        <v>52</v>
      </c>
      <c r="P8" s="30">
        <f t="shared" ref="P8:P9" si="11">SUM(K8:O8)*12</f>
        <v>0</v>
      </c>
    </row>
    <row r="9">
      <c r="B9" s="3" t="s">
        <v>47</v>
      </c>
      <c r="C9" s="28" t="s">
        <v>52</v>
      </c>
      <c r="D9" s="29" t="s">
        <v>52</v>
      </c>
      <c r="E9" s="29" t="s">
        <v>52</v>
      </c>
      <c r="F9" s="29" t="s">
        <v>52</v>
      </c>
      <c r="G9" s="29" t="s">
        <v>52</v>
      </c>
      <c r="H9" s="30">
        <f t="shared" si="4"/>
        <v>0</v>
      </c>
      <c r="J9" s="3" t="s">
        <v>47</v>
      </c>
      <c r="K9" s="28" t="s">
        <v>52</v>
      </c>
      <c r="L9" s="29" t="s">
        <v>52</v>
      </c>
      <c r="M9" s="29" t="s">
        <v>52</v>
      </c>
      <c r="N9" s="29" t="s">
        <v>52</v>
      </c>
      <c r="O9" s="29" t="s">
        <v>52</v>
      </c>
      <c r="P9" s="30">
        <f t="shared" si="11"/>
        <v>0</v>
      </c>
    </row>
    <row r="10">
      <c r="B10" s="3" t="s">
        <v>54</v>
      </c>
      <c r="C10" s="16">
        <f>195*12</f>
        <v>2340</v>
      </c>
      <c r="D10" s="18">
        <f t="shared" ref="D10:G10" si="12">C10*1.025</f>
        <v>2398.5</v>
      </c>
      <c r="E10" s="18">
        <f t="shared" si="12"/>
        <v>2458.4625</v>
      </c>
      <c r="F10" s="18">
        <f t="shared" si="12"/>
        <v>2519.924063</v>
      </c>
      <c r="G10" s="18">
        <f t="shared" si="12"/>
        <v>2582.922164</v>
      </c>
      <c r="H10" s="21">
        <f t="shared" si="4"/>
        <v>12299.80873</v>
      </c>
      <c r="J10" s="3" t="s">
        <v>48</v>
      </c>
      <c r="K10" s="16">
        <f>20*12</f>
        <v>240</v>
      </c>
      <c r="L10" s="18">
        <f t="shared" ref="L10:O10" si="13">K10*1.025</f>
        <v>246</v>
      </c>
      <c r="M10" s="18">
        <f t="shared" si="13"/>
        <v>252.15</v>
      </c>
      <c r="N10" s="18">
        <f t="shared" si="13"/>
        <v>258.45375</v>
      </c>
      <c r="O10" s="18">
        <f t="shared" si="13"/>
        <v>264.9150938</v>
      </c>
      <c r="P10" s="21">
        <f>SUM(K10:O10)</f>
        <v>1261.518844</v>
      </c>
    </row>
    <row r="11">
      <c r="B11" s="3" t="s">
        <v>60</v>
      </c>
      <c r="C11" s="32">
        <f>500</f>
        <v>500</v>
      </c>
      <c r="D11" s="17">
        <f t="shared" ref="D11:G11" si="14">C11*1.025</f>
        <v>512.5</v>
      </c>
      <c r="E11" s="17">
        <f t="shared" si="14"/>
        <v>525.3125</v>
      </c>
      <c r="F11" s="17">
        <f t="shared" si="14"/>
        <v>538.4453125</v>
      </c>
      <c r="G11" s="17">
        <f t="shared" si="14"/>
        <v>551.9064453</v>
      </c>
      <c r="H11" s="33">
        <f t="shared" si="4"/>
        <v>2628.164258</v>
      </c>
      <c r="J11" s="34"/>
      <c r="K11" s="35"/>
      <c r="P11" s="30"/>
    </row>
    <row r="12">
      <c r="B12" s="3" t="s">
        <v>53</v>
      </c>
      <c r="C12" s="36">
        <f>3257.92</f>
        <v>3257.92</v>
      </c>
      <c r="D12" s="17">
        <f t="shared" ref="D12:G12" si="15">C12*1.025</f>
        <v>3339.368</v>
      </c>
      <c r="E12" s="17">
        <f t="shared" si="15"/>
        <v>3422.8522</v>
      </c>
      <c r="F12" s="17">
        <f t="shared" si="15"/>
        <v>3508.423505</v>
      </c>
      <c r="G12" s="17">
        <f t="shared" si="15"/>
        <v>3596.134093</v>
      </c>
      <c r="H12" s="33">
        <f t="shared" si="4"/>
        <v>17124.6978</v>
      </c>
      <c r="J12" s="34"/>
      <c r="K12" s="35"/>
      <c r="P12" s="30"/>
    </row>
    <row r="13">
      <c r="B13" s="3" t="s">
        <v>56</v>
      </c>
      <c r="C13" s="16">
        <v>258.0</v>
      </c>
      <c r="D13" s="18">
        <f t="shared" ref="D13:G13" si="16">C13*1.025</f>
        <v>264.45</v>
      </c>
      <c r="E13" s="18">
        <f t="shared" si="16"/>
        <v>271.06125</v>
      </c>
      <c r="F13" s="18">
        <f t="shared" si="16"/>
        <v>277.8377813</v>
      </c>
      <c r="G13" s="18">
        <f t="shared" si="16"/>
        <v>284.7837258</v>
      </c>
      <c r="H13" s="21">
        <f t="shared" si="4"/>
        <v>1356.132757</v>
      </c>
      <c r="J13" s="34"/>
      <c r="K13" s="35"/>
      <c r="P13" s="30"/>
    </row>
    <row r="14">
      <c r="A14" s="2" t="s">
        <v>61</v>
      </c>
      <c r="B14" s="34"/>
      <c r="C14" s="35"/>
      <c r="H14" s="30"/>
      <c r="J14" s="34"/>
      <c r="K14" s="35"/>
      <c r="P14" s="30"/>
    </row>
    <row r="15">
      <c r="B15" s="3" t="s">
        <v>20</v>
      </c>
      <c r="C15" s="35"/>
      <c r="H15" s="37">
        <v>27000.0</v>
      </c>
      <c r="J15" s="3" t="s">
        <v>19</v>
      </c>
      <c r="K15" s="35"/>
      <c r="P15" s="38">
        <v>3000.0</v>
      </c>
    </row>
    <row r="16">
      <c r="B16" s="34"/>
      <c r="C16" s="35"/>
      <c r="H16" s="30"/>
      <c r="J16" s="34"/>
      <c r="K16" s="35"/>
      <c r="P16" s="30"/>
    </row>
    <row r="17">
      <c r="A17" s="2" t="s">
        <v>62</v>
      </c>
      <c r="B17" s="34"/>
      <c r="C17" s="35"/>
      <c r="H17" s="30"/>
      <c r="J17" s="34"/>
      <c r="K17" s="35"/>
      <c r="P17" s="30"/>
    </row>
    <row r="18">
      <c r="B18" s="3" t="s">
        <v>63</v>
      </c>
      <c r="C18" s="39">
        <v>8000.0</v>
      </c>
      <c r="D18" s="40">
        <v>8000.0</v>
      </c>
      <c r="E18" s="40">
        <v>8000.0</v>
      </c>
      <c r="F18" s="40">
        <v>8000.0</v>
      </c>
      <c r="G18" s="40">
        <v>8000.0</v>
      </c>
      <c r="H18" s="41">
        <f>sum(C18:G18)</f>
        <v>40000</v>
      </c>
      <c r="J18" s="3" t="s">
        <v>58</v>
      </c>
      <c r="K18" s="42">
        <v>60.0</v>
      </c>
      <c r="L18" s="43">
        <v>60.0</v>
      </c>
      <c r="M18" s="43">
        <v>60.0</v>
      </c>
      <c r="N18" s="43">
        <v>60.0</v>
      </c>
      <c r="O18" s="43">
        <v>60.0</v>
      </c>
      <c r="P18" s="44">
        <f>SUM(K18:O18)</f>
        <v>300</v>
      </c>
    </row>
    <row r="19">
      <c r="H19" s="30"/>
      <c r="P19" s="30"/>
    </row>
    <row r="20">
      <c r="A20" s="2" t="s">
        <v>64</v>
      </c>
      <c r="H20" s="21">
        <f>SUM(H4:H15)-H18</f>
        <v>233000.3833</v>
      </c>
      <c r="P20" s="45">
        <f>SUM(P4:P10)-P18</f>
        <v>179151.0555</v>
      </c>
    </row>
    <row r="21">
      <c r="G21" s="2" t="s">
        <v>65</v>
      </c>
      <c r="H21" s="46">
        <v>600000.0</v>
      </c>
    </row>
    <row r="22">
      <c r="G22" s="2" t="s">
        <v>66</v>
      </c>
      <c r="H22" s="47">
        <f>H21*1.194</f>
        <v>716400</v>
      </c>
    </row>
    <row r="23">
      <c r="G23" s="2" t="s">
        <v>67</v>
      </c>
      <c r="H23" s="48">
        <f>H22-H21</f>
        <v>116400</v>
      </c>
    </row>
    <row r="24">
      <c r="H24" s="30"/>
    </row>
    <row r="25">
      <c r="G25" s="2" t="s">
        <v>68</v>
      </c>
      <c r="H25" s="49">
        <f>H20-H23</f>
        <v>116600.3833</v>
      </c>
      <c r="J25" s="17">
        <f>P20-H25</f>
        <v>62550.67222</v>
      </c>
    </row>
    <row r="27">
      <c r="C27" s="50" t="s">
        <v>69</v>
      </c>
      <c r="D27" s="51"/>
      <c r="E27" s="51"/>
      <c r="F27" s="51"/>
      <c r="G27" s="52"/>
    </row>
    <row r="28">
      <c r="C28" s="53" t="s">
        <v>70</v>
      </c>
      <c r="G28" s="54"/>
    </row>
    <row r="29">
      <c r="C29" s="55" t="s">
        <v>71</v>
      </c>
      <c r="D29" s="23"/>
      <c r="E29" s="23"/>
      <c r="F29" s="23"/>
      <c r="G29" s="56"/>
    </row>
    <row r="31">
      <c r="A31" s="2" t="s">
        <v>72</v>
      </c>
    </row>
    <row r="32">
      <c r="A32" s="15" t="s">
        <v>17</v>
      </c>
      <c r="C32" s="57" t="s">
        <v>73</v>
      </c>
      <c r="D32" s="58"/>
      <c r="E32" s="58"/>
      <c r="F32" s="58"/>
      <c r="G32" s="58"/>
      <c r="H32" s="58"/>
      <c r="I32" s="58"/>
      <c r="J32" s="58"/>
      <c r="K32" s="58"/>
      <c r="L32" s="58"/>
      <c r="M32" s="59"/>
    </row>
    <row r="33">
      <c r="A33" s="15" t="s">
        <v>22</v>
      </c>
      <c r="C33" s="60" t="s">
        <v>74</v>
      </c>
      <c r="M33" s="61"/>
    </row>
    <row r="34">
      <c r="A34" s="15" t="s">
        <v>24</v>
      </c>
      <c r="C34" s="60" t="s">
        <v>75</v>
      </c>
      <c r="M34" s="61"/>
    </row>
    <row r="35">
      <c r="A35" s="15" t="s">
        <v>26</v>
      </c>
      <c r="C35" s="60" t="s">
        <v>76</v>
      </c>
      <c r="M35" s="61"/>
    </row>
    <row r="36">
      <c r="A36" s="15" t="s">
        <v>28</v>
      </c>
      <c r="C36" s="60" t="s">
        <v>77</v>
      </c>
      <c r="M36" s="61"/>
    </row>
    <row r="37">
      <c r="A37" s="15" t="s">
        <v>30</v>
      </c>
      <c r="C37" s="60" t="s">
        <v>78</v>
      </c>
      <c r="M37" s="61"/>
    </row>
    <row r="38">
      <c r="A38" s="25" t="s">
        <v>33</v>
      </c>
      <c r="C38" s="60" t="s">
        <v>79</v>
      </c>
      <c r="M38" s="61"/>
    </row>
    <row r="39">
      <c r="A39" s="15" t="s">
        <v>38</v>
      </c>
      <c r="C39" s="60" t="s">
        <v>80</v>
      </c>
      <c r="M39" s="61"/>
    </row>
    <row r="40">
      <c r="A40" s="15" t="s">
        <v>41</v>
      </c>
      <c r="C40" s="60" t="s">
        <v>81</v>
      </c>
      <c r="M40" s="61"/>
    </row>
    <row r="41">
      <c r="C41" s="60" t="s">
        <v>82</v>
      </c>
      <c r="M41" s="61"/>
    </row>
    <row r="42">
      <c r="C42" s="62" t="s">
        <v>83</v>
      </c>
      <c r="D42" s="63"/>
      <c r="E42" s="63"/>
      <c r="F42" s="63"/>
      <c r="G42" s="63"/>
      <c r="H42" s="63"/>
      <c r="I42" s="63"/>
      <c r="J42" s="63"/>
      <c r="K42" s="63"/>
      <c r="L42" s="63"/>
      <c r="M42" s="64"/>
    </row>
  </sheetData>
  <mergeCells count="14">
    <mergeCell ref="C27:G27"/>
    <mergeCell ref="C28:G28"/>
    <mergeCell ref="C29:G29"/>
    <mergeCell ref="C32:M32"/>
    <mergeCell ref="C33:M33"/>
    <mergeCell ref="C34:M34"/>
    <mergeCell ref="C36:M36"/>
    <mergeCell ref="C37:M37"/>
    <mergeCell ref="C38:M38"/>
    <mergeCell ref="C39:M39"/>
    <mergeCell ref="C40:M40"/>
    <mergeCell ref="C41:M41"/>
    <mergeCell ref="C42:M42"/>
    <mergeCell ref="C35:M35"/>
  </mergeCells>
  <conditionalFormatting sqref="H4:H15">
    <cfRule type="colorScale" priority="1">
      <colorScale>
        <cfvo type="min"/>
        <cfvo type="max"/>
        <color rgb="FFFFFFFF"/>
        <color rgb="FFE67C73"/>
      </colorScale>
    </cfRule>
  </conditionalFormatting>
  <conditionalFormatting sqref="P4:P15">
    <cfRule type="colorScale" priority="2">
      <colorScale>
        <cfvo type="min"/>
        <cfvo type="max"/>
        <color rgb="FFFFFFFF"/>
        <color rgb="FFE67C73"/>
      </colorScale>
    </cfRule>
  </conditionalFormatting>
  <hyperlinks>
    <hyperlink r:id="rId2" ref="A32"/>
    <hyperlink r:id="rId3" ref="A33"/>
    <hyperlink r:id="rId4" ref="A34"/>
    <hyperlink r:id="rId5" ref="A35"/>
    <hyperlink r:id="rId6" ref="A36"/>
    <hyperlink r:id="rId7" ref="A37"/>
    <hyperlink r:id="rId8" ref="A38"/>
    <hyperlink r:id="rId9" location="STqMIQyN6j" ref="A39"/>
    <hyperlink r:id="rId10" ref="A40"/>
  </hyperlinks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2.0"/>
    <col customWidth="1" min="2" max="2" width="27.14"/>
    <col customWidth="1" min="10" max="10" width="18.29"/>
  </cols>
  <sheetData>
    <row r="1">
      <c r="C1" s="1" t="s">
        <v>0</v>
      </c>
      <c r="K1" s="1" t="s">
        <v>1</v>
      </c>
    </row>
    <row r="3">
      <c r="A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K3" s="3" t="s">
        <v>3</v>
      </c>
      <c r="L3" s="3" t="s">
        <v>4</v>
      </c>
      <c r="M3" s="3" t="s">
        <v>5</v>
      </c>
      <c r="N3" s="3" t="s">
        <v>6</v>
      </c>
      <c r="O3" s="3" t="s">
        <v>7</v>
      </c>
      <c r="P3" s="3" t="s">
        <v>8</v>
      </c>
    </row>
    <row r="4">
      <c r="B4" s="3" t="s">
        <v>9</v>
      </c>
      <c r="C4" s="4">
        <f t="shared" ref="C4:G4" si="1">3175.25*12</f>
        <v>38103</v>
      </c>
      <c r="D4" s="5">
        <f t="shared" si="1"/>
        <v>38103</v>
      </c>
      <c r="E4" s="5">
        <f t="shared" si="1"/>
        <v>38103</v>
      </c>
      <c r="F4" s="5">
        <f t="shared" si="1"/>
        <v>38103</v>
      </c>
      <c r="G4" s="5">
        <f t="shared" si="1"/>
        <v>38103</v>
      </c>
      <c r="H4" s="6">
        <f t="shared" ref="H4:H13" si="3">SUM(C4:G4)</f>
        <v>190515</v>
      </c>
      <c r="J4" s="3" t="s">
        <v>10</v>
      </c>
      <c r="K4" s="8">
        <f>2475*12</f>
        <v>29700</v>
      </c>
      <c r="L4" s="11">
        <f t="shared" ref="L4:O4" si="2">K4*1.025</f>
        <v>30442.5</v>
      </c>
      <c r="M4" s="11">
        <f t="shared" si="2"/>
        <v>31203.5625</v>
      </c>
      <c r="N4" s="11">
        <f t="shared" si="2"/>
        <v>31983.65156</v>
      </c>
      <c r="O4" s="11">
        <f t="shared" si="2"/>
        <v>32783.24285</v>
      </c>
      <c r="P4" s="14">
        <f t="shared" ref="P4:P7" si="4">SUM(K4:O4)</f>
        <v>156112.9569</v>
      </c>
    </row>
    <row r="5">
      <c r="B5" s="3" t="s">
        <v>18</v>
      </c>
      <c r="C5" s="16">
        <f t="shared" ref="C5:C7" si="5">C36*12</f>
        <v>1080</v>
      </c>
      <c r="D5" s="18">
        <f>C5*(1+C32)</f>
        <v>1107</v>
      </c>
      <c r="E5" s="18">
        <f>D5*(1+C32)</f>
        <v>1134.675</v>
      </c>
      <c r="F5" s="18">
        <f>E5*(1+C32)</f>
        <v>1163.041875</v>
      </c>
      <c r="G5" s="18">
        <f>F5*(1+C32)</f>
        <v>1192.117922</v>
      </c>
      <c r="H5" s="21">
        <f t="shared" si="3"/>
        <v>5676.834797</v>
      </c>
      <c r="J5" s="3" t="s">
        <v>18</v>
      </c>
      <c r="K5" s="16">
        <f>90*12</f>
        <v>1080</v>
      </c>
      <c r="L5" s="18">
        <f>K5*(1+C32)</f>
        <v>1107</v>
      </c>
      <c r="M5" s="18">
        <f>L5*(1+C32)</f>
        <v>1134.675</v>
      </c>
      <c r="N5" s="18">
        <f>M5*(1+C32)</f>
        <v>1163.041875</v>
      </c>
      <c r="O5" s="18">
        <f>N5*(1+C32)</f>
        <v>1192.117922</v>
      </c>
      <c r="P5" s="21">
        <f t="shared" si="4"/>
        <v>5676.834797</v>
      </c>
    </row>
    <row r="6">
      <c r="B6" s="3" t="s">
        <v>34</v>
      </c>
      <c r="C6" s="16">
        <f t="shared" si="5"/>
        <v>1800</v>
      </c>
      <c r="D6" s="18">
        <f>C6*(1+C32)</f>
        <v>1845</v>
      </c>
      <c r="E6" s="18">
        <f>D6*(1+C32)</f>
        <v>1891.125</v>
      </c>
      <c r="F6" s="18">
        <f>E6*(1+C32)</f>
        <v>1938.403125</v>
      </c>
      <c r="G6" s="18">
        <f>F6*(1+C32)</f>
        <v>1986.863203</v>
      </c>
      <c r="H6" s="21">
        <f t="shared" si="3"/>
        <v>9461.391328</v>
      </c>
      <c r="J6" s="3" t="s">
        <v>34</v>
      </c>
      <c r="K6" s="16">
        <f>150*12</f>
        <v>1800</v>
      </c>
      <c r="L6" s="18">
        <f>K6*(1+C32)</f>
        <v>1845</v>
      </c>
      <c r="M6" s="18">
        <f>L6*(1+C32)</f>
        <v>1891.125</v>
      </c>
      <c r="N6" s="18">
        <f>M6*(1+C32)</f>
        <v>1938.403125</v>
      </c>
      <c r="O6" s="18">
        <f>N6*(1+C32)</f>
        <v>1986.863203</v>
      </c>
      <c r="P6" s="21">
        <f t="shared" si="4"/>
        <v>9461.391328</v>
      </c>
    </row>
    <row r="7">
      <c r="B7" s="3" t="s">
        <v>43</v>
      </c>
      <c r="C7" s="16">
        <f t="shared" si="5"/>
        <v>1320</v>
      </c>
      <c r="D7" s="18">
        <f>C7*(1+C32)</f>
        <v>1353</v>
      </c>
      <c r="E7" s="18">
        <f>D7*(1+C32)</f>
        <v>1386.825</v>
      </c>
      <c r="F7" s="18">
        <f>E7*(1+C32)</f>
        <v>1421.495625</v>
      </c>
      <c r="G7" s="18">
        <f>F7*(1+C32)</f>
        <v>1457.033016</v>
      </c>
      <c r="H7" s="21">
        <f t="shared" si="3"/>
        <v>6938.353641</v>
      </c>
      <c r="J7" s="3" t="s">
        <v>43</v>
      </c>
      <c r="K7" s="16">
        <f>110*12</f>
        <v>1320</v>
      </c>
      <c r="L7" s="18">
        <f>K7*(1+C32)</f>
        <v>1353</v>
      </c>
      <c r="M7" s="18">
        <f>L7*(1+C32)</f>
        <v>1386.825</v>
      </c>
      <c r="N7" s="18">
        <f>M7*(1+C32)</f>
        <v>1421.495625</v>
      </c>
      <c r="O7" s="18">
        <f>N7*(1+C32)</f>
        <v>1457.033016</v>
      </c>
      <c r="P7" s="21">
        <f t="shared" si="4"/>
        <v>6938.353641</v>
      </c>
    </row>
    <row r="8">
      <c r="B8" s="3" t="s">
        <v>51</v>
      </c>
      <c r="C8" s="65">
        <f t="shared" ref="C8:C9" si="6">C39
</f>
        <v>0</v>
      </c>
      <c r="D8" s="18">
        <f>C8*(1+C32)</f>
        <v>0</v>
      </c>
      <c r="E8" s="18">
        <f>D8*(1+C32)</f>
        <v>0</v>
      </c>
      <c r="F8" s="18">
        <f>E8*(1+C32)</f>
        <v>0</v>
      </c>
      <c r="G8" s="18">
        <f>F8*(1+C32)</f>
        <v>0</v>
      </c>
      <c r="H8" s="66">
        <f t="shared" si="3"/>
        <v>0</v>
      </c>
      <c r="J8" s="3" t="s">
        <v>51</v>
      </c>
      <c r="K8" s="67">
        <f t="shared" ref="K8:K9" si="7">C39
</f>
        <v>0</v>
      </c>
      <c r="L8" s="68">
        <f>C39*(1+C32)</f>
        <v>0</v>
      </c>
      <c r="M8" s="68">
        <f>D39*(1+C32)</f>
        <v>0</v>
      </c>
      <c r="N8" s="68">
        <f>E39*(1+C32)</f>
        <v>0</v>
      </c>
      <c r="O8" s="68">
        <f>F39*(1+C32)</f>
        <v>0</v>
      </c>
      <c r="P8" s="33">
        <f t="shared" ref="P8:P9" si="8">SUM(K8:O8)*12</f>
        <v>0</v>
      </c>
    </row>
    <row r="9">
      <c r="B9" s="3" t="s">
        <v>47</v>
      </c>
      <c r="C9" s="65">
        <f t="shared" si="6"/>
        <v>0</v>
      </c>
      <c r="D9" s="18">
        <f>C9*(1+C32)</f>
        <v>0</v>
      </c>
      <c r="E9" s="18">
        <f>D9*(1+C32)</f>
        <v>0</v>
      </c>
      <c r="F9" s="18">
        <f>E9*(1+C32)</f>
        <v>0</v>
      </c>
      <c r="G9" s="18">
        <f>F9*(1+C32)</f>
        <v>0</v>
      </c>
      <c r="H9" s="66">
        <f t="shared" si="3"/>
        <v>0</v>
      </c>
      <c r="J9" s="3" t="s">
        <v>47</v>
      </c>
      <c r="K9" s="67">
        <f t="shared" si="7"/>
        <v>0</v>
      </c>
      <c r="L9" s="68">
        <f>C40*(1+C32)</f>
        <v>0</v>
      </c>
      <c r="M9" s="68">
        <f>D40*(1+C32)</f>
        <v>0</v>
      </c>
      <c r="N9" s="68">
        <f>E40*(1+C32)</f>
        <v>0</v>
      </c>
      <c r="O9" s="68">
        <f>F40*(1+C32)</f>
        <v>0</v>
      </c>
      <c r="P9" s="33">
        <f t="shared" si="8"/>
        <v>0</v>
      </c>
    </row>
    <row r="10">
      <c r="B10" s="3" t="s">
        <v>54</v>
      </c>
      <c r="C10" s="16">
        <f>195*12</f>
        <v>2340</v>
      </c>
      <c r="D10" s="18">
        <f>C10*(1+C32)</f>
        <v>2398.5</v>
      </c>
      <c r="E10" s="18">
        <f>D10*(1+C32)</f>
        <v>2458.4625</v>
      </c>
      <c r="F10" s="18">
        <f>E10*(1+C32)</f>
        <v>2519.924063</v>
      </c>
      <c r="G10" s="18">
        <f>F10*(1+C32)</f>
        <v>2582.922164</v>
      </c>
      <c r="H10" s="21">
        <f t="shared" si="3"/>
        <v>12299.80873</v>
      </c>
      <c r="J10" s="3" t="s">
        <v>48</v>
      </c>
      <c r="K10" s="16">
        <f>20*12</f>
        <v>240</v>
      </c>
      <c r="L10" s="18">
        <f>K10*(1+C32)</f>
        <v>246</v>
      </c>
      <c r="M10" s="18">
        <f>L10*(1+C32)</f>
        <v>252.15</v>
      </c>
      <c r="N10" s="18">
        <f>M10*(1+C32)</f>
        <v>258.45375</v>
      </c>
      <c r="O10" s="18">
        <f>N10*(1+C32)</f>
        <v>264.9150938</v>
      </c>
      <c r="P10" s="21">
        <f>SUM(K10:O10)</f>
        <v>1261.518844</v>
      </c>
    </row>
    <row r="11">
      <c r="B11" s="3" t="s">
        <v>60</v>
      </c>
      <c r="C11" s="32">
        <f>500</f>
        <v>500</v>
      </c>
      <c r="D11" s="17">
        <f>C11*(1+C32)</f>
        <v>512.5</v>
      </c>
      <c r="E11" s="17">
        <f>D11*(1+C32)</f>
        <v>525.3125</v>
      </c>
      <c r="F11" s="17">
        <f>E11*(1+C32)</f>
        <v>538.4453125</v>
      </c>
      <c r="G11" s="17">
        <f>F11*(1+C32)</f>
        <v>551.9064453</v>
      </c>
      <c r="H11" s="33">
        <f t="shared" si="3"/>
        <v>2628.164258</v>
      </c>
      <c r="J11" s="34"/>
      <c r="K11" s="32"/>
      <c r="P11" s="30"/>
    </row>
    <row r="12">
      <c r="B12" s="3" t="s">
        <v>53</v>
      </c>
      <c r="C12" s="36">
        <f>3257.92</f>
        <v>3257.92</v>
      </c>
      <c r="D12" s="17">
        <f>C12*(1+C32)</f>
        <v>3339.368</v>
      </c>
      <c r="E12" s="17">
        <f>D12*(1+C32)</f>
        <v>3422.8522</v>
      </c>
      <c r="F12" s="17">
        <f>E12*(1+C32)</f>
        <v>3508.423505</v>
      </c>
      <c r="G12" s="17">
        <f>F12*(1+C32)</f>
        <v>3596.134093</v>
      </c>
      <c r="H12" s="33">
        <f t="shared" si="3"/>
        <v>17124.6978</v>
      </c>
      <c r="J12" s="34"/>
      <c r="K12" s="36"/>
      <c r="P12" s="30"/>
    </row>
    <row r="13">
      <c r="B13" s="3" t="s">
        <v>56</v>
      </c>
      <c r="C13" s="16">
        <v>258.0</v>
      </c>
      <c r="D13" s="18">
        <f>C13*(1+C32)</f>
        <v>264.45</v>
      </c>
      <c r="E13" s="18">
        <f>D13*(1+C32)</f>
        <v>271.06125</v>
      </c>
      <c r="F13" s="18">
        <f>E13*(1+C32)</f>
        <v>277.8377813</v>
      </c>
      <c r="G13" s="18">
        <f>F13*(1+C32)</f>
        <v>284.7837258</v>
      </c>
      <c r="H13" s="21">
        <f t="shared" si="3"/>
        <v>1356.132757</v>
      </c>
      <c r="J13" s="34"/>
      <c r="K13" s="16"/>
      <c r="P13" s="30"/>
    </row>
    <row r="14">
      <c r="A14" s="2" t="s">
        <v>61</v>
      </c>
      <c r="B14" s="34"/>
      <c r="C14" s="35"/>
      <c r="H14" s="30"/>
      <c r="J14" s="34"/>
      <c r="K14" s="35"/>
      <c r="P14" s="30"/>
    </row>
    <row r="15">
      <c r="B15" s="3" t="s">
        <v>20</v>
      </c>
      <c r="C15" s="35"/>
      <c r="H15" s="37">
        <v>27000.0</v>
      </c>
      <c r="J15" s="3" t="s">
        <v>19</v>
      </c>
      <c r="K15" s="35"/>
      <c r="P15" s="38">
        <v>3000.0</v>
      </c>
    </row>
    <row r="16">
      <c r="B16" s="34"/>
      <c r="C16" s="35"/>
      <c r="H16" s="30"/>
      <c r="J16" s="34"/>
      <c r="K16" s="35"/>
      <c r="P16" s="30"/>
    </row>
    <row r="17">
      <c r="A17" s="2" t="s">
        <v>62</v>
      </c>
      <c r="B17" s="34"/>
      <c r="C17" s="35"/>
      <c r="H17" s="30"/>
      <c r="J17" s="34"/>
      <c r="K17" s="35"/>
      <c r="P17" s="30"/>
    </row>
    <row r="18">
      <c r="B18" s="3" t="s">
        <v>63</v>
      </c>
      <c r="C18" s="39">
        <v>8000.0</v>
      </c>
      <c r="D18" s="40">
        <v>8000.0</v>
      </c>
      <c r="E18" s="40">
        <v>8000.0</v>
      </c>
      <c r="F18" s="40">
        <v>8000.0</v>
      </c>
      <c r="G18" s="40">
        <v>8000.0</v>
      </c>
      <c r="H18" s="41">
        <f>sum(C18:G18)</f>
        <v>40000</v>
      </c>
      <c r="J18" s="3" t="s">
        <v>58</v>
      </c>
      <c r="K18" s="42">
        <v>60.0</v>
      </c>
      <c r="L18" s="43">
        <v>60.0</v>
      </c>
      <c r="M18" s="43">
        <v>60.0</v>
      </c>
      <c r="N18" s="43">
        <v>60.0</v>
      </c>
      <c r="O18" s="43">
        <v>60.0</v>
      </c>
      <c r="P18" s="44">
        <f>SUM(K18:O18)</f>
        <v>300</v>
      </c>
    </row>
    <row r="19">
      <c r="H19" s="30"/>
      <c r="P19" s="30"/>
    </row>
    <row r="20">
      <c r="A20" s="2" t="s">
        <v>64</v>
      </c>
      <c r="H20" s="21">
        <f>SUM(H4:H15)-H18</f>
        <v>233000.3833</v>
      </c>
      <c r="P20" s="45">
        <f>SUM(P4:P10)-P18</f>
        <v>179151.0555</v>
      </c>
    </row>
    <row r="21">
      <c r="G21" s="2" t="s">
        <v>65</v>
      </c>
      <c r="H21" s="46">
        <v>600000.0</v>
      </c>
    </row>
    <row r="22">
      <c r="G22" s="2" t="s">
        <v>66</v>
      </c>
      <c r="H22" s="47">
        <f>H21*(1+C33)</f>
        <v>716400</v>
      </c>
    </row>
    <row r="23">
      <c r="G23" s="2" t="s">
        <v>67</v>
      </c>
      <c r="H23" s="48">
        <f>H22-H21</f>
        <v>116400</v>
      </c>
    </row>
    <row r="24">
      <c r="H24" s="30"/>
    </row>
    <row r="25">
      <c r="G25" s="2" t="s">
        <v>68</v>
      </c>
      <c r="H25" s="49">
        <f>H20-H23</f>
        <v>116600.3833</v>
      </c>
    </row>
    <row r="27">
      <c r="C27" s="69"/>
      <c r="D27" s="69"/>
      <c r="E27" s="69"/>
      <c r="F27" s="69"/>
      <c r="G27" s="69"/>
    </row>
    <row r="28">
      <c r="C28" s="69"/>
      <c r="D28" s="69"/>
      <c r="E28" s="69"/>
      <c r="F28" s="69"/>
      <c r="G28" s="69"/>
    </row>
    <row r="29">
      <c r="C29" s="69"/>
      <c r="D29" s="69"/>
      <c r="E29" s="69"/>
      <c r="F29" s="69"/>
      <c r="G29" s="69"/>
    </row>
    <row r="31">
      <c r="A31" s="2" t="s">
        <v>72</v>
      </c>
    </row>
    <row r="32">
      <c r="A32" s="15" t="s">
        <v>17</v>
      </c>
      <c r="B32" s="70" t="s">
        <v>84</v>
      </c>
      <c r="C32" s="71">
        <v>0.025</v>
      </c>
    </row>
    <row r="33">
      <c r="A33" s="15" t="s">
        <v>22</v>
      </c>
      <c r="B33" s="72" t="s">
        <v>85</v>
      </c>
      <c r="C33" s="73">
        <v>0.194</v>
      </c>
    </row>
    <row r="34">
      <c r="A34" s="15" t="s">
        <v>24</v>
      </c>
      <c r="B34" s="74" t="s">
        <v>23</v>
      </c>
      <c r="C34" s="75">
        <v>0.04875</v>
      </c>
      <c r="D34" s="2" t="s">
        <v>86</v>
      </c>
      <c r="F34" s="18">
        <f>-PMT(C34/12, 360,600000)</f>
        <v>3175.249343</v>
      </c>
    </row>
    <row r="35">
      <c r="A35" s="15" t="s">
        <v>26</v>
      </c>
      <c r="B35" s="76" t="s">
        <v>87</v>
      </c>
      <c r="C35" s="77"/>
    </row>
    <row r="36">
      <c r="A36" s="15" t="s">
        <v>28</v>
      </c>
      <c r="B36" s="72" t="s">
        <v>18</v>
      </c>
      <c r="C36" s="78">
        <v>90.0</v>
      </c>
    </row>
    <row r="37">
      <c r="A37" s="15" t="s">
        <v>30</v>
      </c>
      <c r="B37" s="72" t="s">
        <v>34</v>
      </c>
      <c r="C37" s="78">
        <v>150.0</v>
      </c>
    </row>
    <row r="38">
      <c r="A38" s="25" t="s">
        <v>33</v>
      </c>
      <c r="B38" s="72" t="s">
        <v>43</v>
      </c>
      <c r="C38" s="78">
        <v>110.0</v>
      </c>
    </row>
    <row r="39">
      <c r="A39" s="15" t="s">
        <v>38</v>
      </c>
      <c r="B39" s="72" t="s">
        <v>51</v>
      </c>
      <c r="C39" s="78">
        <v>0.0</v>
      </c>
    </row>
    <row r="40">
      <c r="A40" s="15" t="s">
        <v>41</v>
      </c>
      <c r="B40" s="74" t="s">
        <v>47</v>
      </c>
      <c r="C40" s="79">
        <v>0.0</v>
      </c>
    </row>
  </sheetData>
  <conditionalFormatting sqref="H4:H15">
    <cfRule type="colorScale" priority="1">
      <colorScale>
        <cfvo type="min"/>
        <cfvo type="max"/>
        <color rgb="FFFFFFFF"/>
        <color rgb="FFE67C73"/>
      </colorScale>
    </cfRule>
  </conditionalFormatting>
  <conditionalFormatting sqref="P4:P15">
    <cfRule type="colorScale" priority="2">
      <colorScale>
        <cfvo type="min"/>
        <cfvo type="max"/>
        <color rgb="FFFFFFFF"/>
        <color rgb="FFE67C73"/>
      </colorScale>
    </cfRule>
  </conditionalFormatting>
  <hyperlinks>
    <hyperlink r:id="rId2" ref="A32"/>
    <hyperlink r:id="rId3" ref="A33"/>
    <hyperlink r:id="rId4" ref="A34"/>
    <hyperlink r:id="rId5" ref="A35"/>
    <hyperlink r:id="rId6" ref="A36"/>
    <hyperlink r:id="rId7" ref="A37"/>
    <hyperlink r:id="rId8" ref="A38"/>
    <hyperlink r:id="rId9" location="STqMIQyN6j" ref="A39"/>
    <hyperlink r:id="rId10" ref="A40"/>
  </hyperlinks>
  <drawing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71"/>
    <col customWidth="1" min="2" max="2" width="20.0"/>
    <col customWidth="1" min="3" max="3" width="22.43"/>
    <col customWidth="1" min="4" max="4" width="12.71"/>
    <col customWidth="1" min="5" max="5" width="38.14"/>
    <col customWidth="1" min="6" max="6" width="35.71"/>
    <col customWidth="1" min="8" max="8" width="14.14"/>
    <col customWidth="1" min="9" max="9" width="16.14"/>
  </cols>
  <sheetData>
    <row r="1">
      <c r="A1" s="7" t="s">
        <v>11</v>
      </c>
      <c r="B1" s="9" t="s">
        <v>12</v>
      </c>
      <c r="C1" s="10"/>
      <c r="D1" s="9" t="s">
        <v>13</v>
      </c>
      <c r="E1" s="9" t="s">
        <v>14</v>
      </c>
      <c r="F1" s="10"/>
      <c r="G1" s="10"/>
      <c r="H1" s="10"/>
      <c r="I1" s="10"/>
      <c r="J1" s="9" t="s">
        <v>15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2"/>
    </row>
    <row r="2">
      <c r="A2" s="13"/>
      <c r="E2" s="2">
        <v>600000.0</v>
      </c>
      <c r="F2" s="2" t="s">
        <v>16</v>
      </c>
      <c r="J2" s="15" t="s">
        <v>17</v>
      </c>
    </row>
    <row r="3">
      <c r="A3" s="2" t="s">
        <v>19</v>
      </c>
      <c r="C3" s="2" t="s">
        <v>20</v>
      </c>
      <c r="D3" s="17">
        <f>E2*0.045</f>
        <v>27000</v>
      </c>
      <c r="F3" s="2" t="s">
        <v>21</v>
      </c>
      <c r="J3" s="15" t="s">
        <v>22</v>
      </c>
    </row>
    <row r="4">
      <c r="B4" s="19"/>
      <c r="D4" s="19"/>
      <c r="F4" s="2" t="s">
        <v>23</v>
      </c>
      <c r="G4" s="20">
        <v>0.04875</v>
      </c>
      <c r="J4" s="15" t="s">
        <v>24</v>
      </c>
    </row>
    <row r="5">
      <c r="B5" s="19"/>
      <c r="D5" s="19"/>
      <c r="F5" s="2" t="s">
        <v>25</v>
      </c>
      <c r="G5" s="2">
        <v>30.0</v>
      </c>
      <c r="J5" s="15" t="s">
        <v>26</v>
      </c>
    </row>
    <row r="6">
      <c r="H6" s="2" t="s">
        <v>27</v>
      </c>
      <c r="J6" s="15" t="s">
        <v>28</v>
      </c>
    </row>
    <row r="7">
      <c r="H7" s="2" t="s">
        <v>29</v>
      </c>
      <c r="J7" s="15" t="s">
        <v>30</v>
      </c>
    </row>
    <row r="8">
      <c r="A8" s="22" t="s">
        <v>31</v>
      </c>
      <c r="B8" s="23"/>
      <c r="C8" s="23"/>
      <c r="D8" s="23"/>
      <c r="E8" s="23"/>
      <c r="F8" s="23"/>
      <c r="G8" s="23"/>
      <c r="H8" s="22" t="s">
        <v>32</v>
      </c>
      <c r="I8" s="24"/>
      <c r="J8" s="25" t="s">
        <v>33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" t="s">
        <v>10</v>
      </c>
      <c r="B9" s="26">
        <v>2475.0</v>
      </c>
      <c r="C9" s="2" t="s">
        <v>35</v>
      </c>
      <c r="D9" s="18">
        <f>G10</f>
        <v>3175.249343</v>
      </c>
      <c r="F9" s="2" t="s">
        <v>36</v>
      </c>
      <c r="G9" s="20">
        <f>G4/12</f>
        <v>0.0040625</v>
      </c>
      <c r="H9" s="2" t="s">
        <v>37</v>
      </c>
      <c r="I9" s="27">
        <v>0.194</v>
      </c>
      <c r="J9" s="15" t="s">
        <v>38</v>
      </c>
    </row>
    <row r="10">
      <c r="A10" s="2" t="s">
        <v>18</v>
      </c>
      <c r="B10" s="26">
        <v>90.0</v>
      </c>
      <c r="C10" s="2" t="s">
        <v>18</v>
      </c>
      <c r="D10" s="26">
        <v>90.0</v>
      </c>
      <c r="F10" s="2" t="s">
        <v>39</v>
      </c>
      <c r="G10" s="18">
        <f>-PMT(G9,360,E2)</f>
        <v>3175.249343</v>
      </c>
      <c r="H10" s="2" t="s">
        <v>40</v>
      </c>
      <c r="J10" s="15" t="s">
        <v>41</v>
      </c>
    </row>
    <row r="11">
      <c r="A11" s="2" t="s">
        <v>34</v>
      </c>
      <c r="B11" s="26">
        <v>150.0</v>
      </c>
      <c r="C11" s="2" t="s">
        <v>34</v>
      </c>
      <c r="D11" s="26">
        <v>150.0</v>
      </c>
      <c r="F11" s="2"/>
      <c r="H11" s="2" t="s">
        <v>42</v>
      </c>
    </row>
    <row r="12">
      <c r="A12" s="2" t="s">
        <v>43</v>
      </c>
      <c r="B12" s="26">
        <v>110.0</v>
      </c>
      <c r="C12" s="2" t="s">
        <v>43</v>
      </c>
      <c r="D12" s="26">
        <v>110.0</v>
      </c>
      <c r="E12">
        <f>400*12</f>
        <v>4800</v>
      </c>
      <c r="H12" s="2" t="s">
        <v>44</v>
      </c>
    </row>
    <row r="13">
      <c r="A13" s="2" t="s">
        <v>45</v>
      </c>
      <c r="B13" s="26">
        <v>0.0</v>
      </c>
      <c r="C13" s="2" t="s">
        <v>45</v>
      </c>
      <c r="D13" s="26">
        <v>0.0</v>
      </c>
      <c r="E13">
        <f>4800/100000</f>
        <v>0.048</v>
      </c>
      <c r="H13" s="2" t="s">
        <v>46</v>
      </c>
      <c r="I13" s="27">
        <v>0.025</v>
      </c>
    </row>
    <row r="14">
      <c r="A14" s="2" t="s">
        <v>47</v>
      </c>
      <c r="B14" s="26">
        <v>0.0</v>
      </c>
      <c r="C14" s="2" t="s">
        <v>47</v>
      </c>
      <c r="D14" s="26">
        <v>0.0</v>
      </c>
    </row>
    <row r="15">
      <c r="A15" s="2" t="s">
        <v>48</v>
      </c>
      <c r="B15" s="26">
        <v>20.0</v>
      </c>
      <c r="C15" s="2" t="s">
        <v>49</v>
      </c>
      <c r="D15" s="17">
        <f>E2*0.0003265306122</f>
        <v>195.9183673</v>
      </c>
      <c r="F15">
        <f>3175.25*12</f>
        <v>38103</v>
      </c>
    </row>
    <row r="16">
      <c r="C16" s="2" t="s">
        <v>50</v>
      </c>
      <c r="D16" s="17">
        <f>(E2*0.02)/144</f>
        <v>83.33333333</v>
      </c>
      <c r="F16">
        <f>38103*(1.05)^30</f>
        <v>164678.9703</v>
      </c>
      <c r="G16">
        <f>38103*30</f>
        <v>1143090</v>
      </c>
    </row>
    <row r="17">
      <c r="C17" s="2" t="s">
        <v>53</v>
      </c>
      <c r="D17" s="18">
        <f>D21/12</f>
        <v>271.4933333</v>
      </c>
      <c r="E17">
        <f>600000/360</f>
        <v>1666.666667</v>
      </c>
      <c r="F17" s="2">
        <f>1143090/164678.9703*30</f>
        <v>208.2397038</v>
      </c>
    </row>
    <row r="18">
      <c r="C18" s="2" t="s">
        <v>55</v>
      </c>
      <c r="D18" s="17">
        <f>38103*(1.05)^30/360</f>
        <v>457.4415842</v>
      </c>
      <c r="F18">
        <f>38103*(1.05)^30/360</f>
        <v>457.4415842</v>
      </c>
    </row>
    <row r="19">
      <c r="C19" s="2" t="s">
        <v>56</v>
      </c>
      <c r="D19" s="19">
        <v>258.0</v>
      </c>
    </row>
    <row r="20">
      <c r="A20" s="22" t="s">
        <v>57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" t="s">
        <v>58</v>
      </c>
      <c r="B21" s="26">
        <v>60.0</v>
      </c>
      <c r="C21" s="2" t="s">
        <v>59</v>
      </c>
      <c r="D21" s="31">
        <v>3257.92</v>
      </c>
    </row>
  </sheetData>
  <hyperlinks>
    <hyperlink r:id="rId2" ref="J2"/>
    <hyperlink r:id="rId3" ref="J3"/>
    <hyperlink r:id="rId4" ref="J4"/>
    <hyperlink r:id="rId5" ref="J5"/>
    <hyperlink r:id="rId6" ref="J6"/>
    <hyperlink r:id="rId7" ref="J7"/>
    <hyperlink r:id="rId8" ref="J8"/>
    <hyperlink r:id="rId9" location="STqMIQyN6j" ref="J9"/>
    <hyperlink r:id="rId10" ref="J10"/>
  </hyperlinks>
  <drawing r:id="rId11"/>
  <legacyDrawing r:id="rId12"/>
</worksheet>
</file>