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KAR\Downloads\"/>
    </mc:Choice>
  </mc:AlternateContent>
  <xr:revisionPtr revIDLastSave="0" documentId="13_ncr:1_{912FDE8C-F335-467D-817C-0309E8B8DC53}" xr6:coauthVersionLast="47" xr6:coauthVersionMax="47" xr10:uidLastSave="{00000000-0000-0000-0000-000000000000}"/>
  <workbookProtection workbookAlgorithmName="SHA-512" workbookHashValue="QswGICcm7e0N5V/yUN17chjcL/ybJuraHxvlwpfRb9vpwrM+KJ36SS2SFC73EGgnWTZlvSLRFWZ7l5MRkiQpgg==" workbookSaltValue="yNDYtRtUkShmfyBMS2UvKg==" workbookSpinCount="100000" lockStructure="1"/>
  <bookViews>
    <workbookView xWindow="-108" yWindow="-108" windowWidth="23256" windowHeight="12456" xr2:uid="{A469845D-959C-4A7C-80E1-18863DB1EFCC}"/>
  </bookViews>
  <sheets>
    <sheet name="FCFF" sheetId="2" r:id="rId1"/>
    <sheet name="WACC" sheetId="9" r:id="rId2"/>
    <sheet name="DCF" sheetId="11" r:id="rId3"/>
    <sheet name="DATA SOURCE --&gt;" sheetId="10" r:id="rId4"/>
    <sheet name="Segments" sheetId="6" r:id="rId5"/>
    <sheet name="IS" sheetId="8" r:id="rId6"/>
    <sheet name="CFS" sheetId="7" r:id="rId7"/>
    <sheet name="CapEx" sheetId="5" r:id="rId8"/>
  </sheets>
  <externalReferences>
    <externalReference r:id="rId9"/>
    <externalReference r:id="rId10"/>
  </externalReferences>
  <definedNames>
    <definedName name="CASE">FCFF!#REF!</definedName>
    <definedName name="CIRC">FCFF!#REF!</definedName>
    <definedName name="PIK">[1]LBO!$E$8</definedName>
    <definedName name="tgr">[2]DCF!$E$19</definedName>
    <definedName name="wacc">[2]DCF!$E$18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1" l="1"/>
  <c r="O9" i="11"/>
  <c r="I33" i="11"/>
  <c r="I29" i="11"/>
  <c r="I26" i="11"/>
  <c r="E9" i="11"/>
  <c r="F15" i="11"/>
  <c r="F17" i="11" s="1"/>
  <c r="G15" i="11"/>
  <c r="G17" i="11" s="1"/>
  <c r="H15" i="11"/>
  <c r="H17" i="11" s="1"/>
  <c r="I15" i="11"/>
  <c r="O16" i="11" s="1"/>
  <c r="O19" i="11" s="1"/>
  <c r="O21" i="11" s="1"/>
  <c r="I23" i="11" s="1"/>
  <c r="E15" i="11"/>
  <c r="E17" i="11" s="1"/>
  <c r="G23" i="9"/>
  <c r="M28" i="2"/>
  <c r="G21" i="9"/>
  <c r="G9" i="9"/>
  <c r="G26" i="9" s="1"/>
  <c r="G15" i="9"/>
  <c r="G17" i="9" s="1"/>
  <c r="E55" i="2"/>
  <c r="E68" i="2" s="1"/>
  <c r="F55" i="2"/>
  <c r="F68" i="2" s="1"/>
  <c r="G55" i="2"/>
  <c r="G68" i="2" s="1"/>
  <c r="H55" i="2"/>
  <c r="H68" i="2" s="1"/>
  <c r="I55" i="2"/>
  <c r="I68" i="2" s="1"/>
  <c r="J55" i="2"/>
  <c r="J68" i="2" s="1"/>
  <c r="K55" i="2"/>
  <c r="K68" i="2" s="1"/>
  <c r="L55" i="2"/>
  <c r="L68" i="2" s="1"/>
  <c r="M55" i="2"/>
  <c r="M68" i="2" s="1"/>
  <c r="D55" i="2"/>
  <c r="D68" i="2" s="1"/>
  <c r="E48" i="2"/>
  <c r="E66" i="2" s="1"/>
  <c r="F48" i="2"/>
  <c r="F66" i="2" s="1"/>
  <c r="G48" i="2"/>
  <c r="G66" i="2" s="1"/>
  <c r="H48" i="2"/>
  <c r="H66" i="2" s="1"/>
  <c r="I48" i="2"/>
  <c r="I66" i="2" s="1"/>
  <c r="J48" i="2"/>
  <c r="J66" i="2" s="1"/>
  <c r="K48" i="2"/>
  <c r="K66" i="2" s="1"/>
  <c r="L48" i="2"/>
  <c r="L66" i="2" s="1"/>
  <c r="M48" i="2"/>
  <c r="M66" i="2" s="1"/>
  <c r="D48" i="2"/>
  <c r="D66" i="2" s="1"/>
  <c r="D51" i="2"/>
  <c r="D64" i="2" s="1"/>
  <c r="E51" i="2"/>
  <c r="E64" i="2" s="1"/>
  <c r="F51" i="2"/>
  <c r="F64" i="2" s="1"/>
  <c r="G51" i="2"/>
  <c r="G64" i="2" s="1"/>
  <c r="H51" i="2"/>
  <c r="H64" i="2" s="1"/>
  <c r="I51" i="2"/>
  <c r="I64" i="2" s="1"/>
  <c r="J51" i="2"/>
  <c r="J64" i="2" s="1"/>
  <c r="K51" i="2"/>
  <c r="L51" i="2"/>
  <c r="M51" i="2"/>
  <c r="M64" i="2" s="1"/>
  <c r="E42" i="2"/>
  <c r="F42" i="2"/>
  <c r="G42" i="2"/>
  <c r="H42" i="2"/>
  <c r="I42" i="2"/>
  <c r="J42" i="2"/>
  <c r="K42" i="2"/>
  <c r="L42" i="2"/>
  <c r="M42" i="2"/>
  <c r="N42" i="2"/>
  <c r="D42" i="2"/>
  <c r="E33" i="2"/>
  <c r="F33" i="2"/>
  <c r="F34" i="2" s="1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D33" i="2"/>
  <c r="E30" i="2"/>
  <c r="F30" i="2"/>
  <c r="G30" i="2"/>
  <c r="H30" i="2"/>
  <c r="I30" i="2"/>
  <c r="J30" i="2"/>
  <c r="K30" i="2"/>
  <c r="L30" i="2"/>
  <c r="M30" i="2"/>
  <c r="N30" i="2"/>
  <c r="O30" i="2"/>
  <c r="P30" i="2"/>
  <c r="D30" i="2"/>
  <c r="E27" i="2"/>
  <c r="F27" i="2"/>
  <c r="G27" i="2"/>
  <c r="H27" i="2"/>
  <c r="I27" i="2"/>
  <c r="I36" i="2" s="1"/>
  <c r="J27" i="2"/>
  <c r="K27" i="2"/>
  <c r="L27" i="2"/>
  <c r="M27" i="2"/>
  <c r="M36" i="2" s="1"/>
  <c r="N27" i="2"/>
  <c r="O27" i="2"/>
  <c r="P27" i="2"/>
  <c r="D2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D14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D11" i="2"/>
  <c r="D20" i="2" s="1"/>
  <c r="I17" i="11" l="1"/>
  <c r="I22" i="11" s="1"/>
  <c r="I25" i="11" s="1"/>
  <c r="L53" i="2"/>
  <c r="R12" i="2"/>
  <c r="N12" i="2"/>
  <c r="J12" i="2"/>
  <c r="F12" i="2"/>
  <c r="R15" i="2"/>
  <c r="J15" i="2"/>
  <c r="Q18" i="2"/>
  <c r="I18" i="2"/>
  <c r="K53" i="2"/>
  <c r="L64" i="2"/>
  <c r="K64" i="2"/>
  <c r="G53" i="2"/>
  <c r="P12" i="2"/>
  <c r="L12" i="2"/>
  <c r="H12" i="2"/>
  <c r="P15" i="2"/>
  <c r="L15" i="2"/>
  <c r="H15" i="2"/>
  <c r="S18" i="2"/>
  <c r="O18" i="2"/>
  <c r="K18" i="2"/>
  <c r="G18" i="2"/>
  <c r="L28" i="2"/>
  <c r="H28" i="2"/>
  <c r="I31" i="2"/>
  <c r="Q34" i="2"/>
  <c r="M34" i="2"/>
  <c r="I34" i="2"/>
  <c r="O31" i="2"/>
  <c r="D56" i="2"/>
  <c r="H53" i="2"/>
  <c r="I53" i="2"/>
  <c r="Q12" i="2"/>
  <c r="Q27" i="2" s="1"/>
  <c r="R27" i="2" s="1"/>
  <c r="I12" i="2"/>
  <c r="E15" i="2"/>
  <c r="D52" i="2"/>
  <c r="S12" i="2"/>
  <c r="O12" i="2"/>
  <c r="K12" i="2"/>
  <c r="G12" i="2"/>
  <c r="F18" i="2"/>
  <c r="K31" i="2"/>
  <c r="D53" i="2"/>
  <c r="D49" i="2"/>
  <c r="M12" i="2"/>
  <c r="J53" i="2"/>
  <c r="F53" i="2"/>
  <c r="M53" i="2"/>
  <c r="E53" i="2"/>
  <c r="E28" i="2"/>
  <c r="N28" i="2"/>
  <c r="J28" i="2"/>
  <c r="F28" i="2"/>
  <c r="G31" i="2"/>
  <c r="S34" i="2"/>
  <c r="O34" i="2"/>
  <c r="K34" i="2"/>
  <c r="G34" i="2"/>
  <c r="O15" i="2"/>
  <c r="G15" i="2"/>
  <c r="N18" i="2"/>
  <c r="D36" i="2"/>
  <c r="N31" i="2"/>
  <c r="F31" i="2"/>
  <c r="E12" i="2"/>
  <c r="Q15" i="2"/>
  <c r="Q30" i="2" s="1"/>
  <c r="M15" i="2"/>
  <c r="I15" i="2"/>
  <c r="P18" i="2"/>
  <c r="L18" i="2"/>
  <c r="H18" i="2"/>
  <c r="O36" i="2"/>
  <c r="K28" i="2"/>
  <c r="G36" i="2"/>
  <c r="P31" i="2"/>
  <c r="L31" i="2"/>
  <c r="H31" i="2"/>
  <c r="P34" i="2"/>
  <c r="L34" i="2"/>
  <c r="H34" i="2"/>
  <c r="M43" i="2"/>
  <c r="M62" i="2" s="1"/>
  <c r="M70" i="2" s="1"/>
  <c r="I43" i="2"/>
  <c r="I62" i="2" s="1"/>
  <c r="I70" i="2" s="1"/>
  <c r="N34" i="2"/>
  <c r="L36" i="2"/>
  <c r="L62" i="2" s="1"/>
  <c r="H36" i="2"/>
  <c r="S15" i="2"/>
  <c r="K15" i="2"/>
  <c r="R18" i="2"/>
  <c r="J18" i="2"/>
  <c r="J31" i="2"/>
  <c r="E36" i="2"/>
  <c r="K36" i="2"/>
  <c r="N15" i="2"/>
  <c r="F15" i="2"/>
  <c r="M18" i="2"/>
  <c r="O28" i="2"/>
  <c r="G28" i="2"/>
  <c r="M31" i="2"/>
  <c r="N36" i="2"/>
  <c r="J36" i="2"/>
  <c r="F36" i="2"/>
  <c r="I28" i="2"/>
  <c r="E31" i="2"/>
  <c r="R34" i="2"/>
  <c r="J34" i="2"/>
  <c r="P36" i="2"/>
  <c r="P28" i="2"/>
  <c r="O20" i="2"/>
  <c r="G20" i="2"/>
  <c r="S20" i="2"/>
  <c r="K20" i="2"/>
  <c r="R20" i="2"/>
  <c r="N20" i="2"/>
  <c r="J20" i="2"/>
  <c r="F20" i="2"/>
  <c r="F52" i="2" s="1"/>
  <c r="P20" i="2"/>
  <c r="P21" i="2" s="1"/>
  <c r="L20" i="2"/>
  <c r="L56" i="2" s="1"/>
  <c r="H20" i="2"/>
  <c r="H56" i="2" s="1"/>
  <c r="Q20" i="2"/>
  <c r="M20" i="2"/>
  <c r="I20" i="2"/>
  <c r="E20" i="2"/>
  <c r="E52" i="2" s="1"/>
  <c r="L70" i="2" l="1"/>
  <c r="G43" i="2"/>
  <c r="G62" i="2" s="1"/>
  <c r="G70" i="2" s="1"/>
  <c r="D37" i="2"/>
  <c r="F43" i="2"/>
  <c r="F62" i="2" s="1"/>
  <c r="F70" i="2" s="1"/>
  <c r="H43" i="2"/>
  <c r="H62" i="2"/>
  <c r="H70" i="2" s="1"/>
  <c r="E56" i="2"/>
  <c r="M21" i="2"/>
  <c r="K57" i="2"/>
  <c r="E21" i="2"/>
  <c r="J37" i="2"/>
  <c r="Q28" i="2"/>
  <c r="E49" i="2"/>
  <c r="E57" i="2"/>
  <c r="D43" i="2"/>
  <c r="D62" i="2" s="1"/>
  <c r="D70" i="2" s="1"/>
  <c r="S53" i="2"/>
  <c r="O53" i="2"/>
  <c r="H49" i="2"/>
  <c r="H52" i="2"/>
  <c r="I21" i="2"/>
  <c r="H57" i="2"/>
  <c r="E37" i="2"/>
  <c r="O21" i="2"/>
  <c r="M57" i="2"/>
  <c r="N53" i="2"/>
  <c r="R53" i="2"/>
  <c r="K56" i="2"/>
  <c r="K49" i="2"/>
  <c r="K52" i="2"/>
  <c r="L57" i="2"/>
  <c r="P53" i="2"/>
  <c r="G56" i="2"/>
  <c r="G49" i="2"/>
  <c r="G37" i="2"/>
  <c r="M52" i="2"/>
  <c r="Q53" i="2"/>
  <c r="R21" i="2"/>
  <c r="L49" i="2"/>
  <c r="I56" i="2"/>
  <c r="F21" i="2"/>
  <c r="F56" i="2"/>
  <c r="E43" i="2"/>
  <c r="E62" i="2" s="1"/>
  <c r="E70" i="2" s="1"/>
  <c r="F57" i="2"/>
  <c r="L52" i="2"/>
  <c r="G52" i="2"/>
  <c r="I49" i="2"/>
  <c r="J56" i="2"/>
  <c r="J49" i="2"/>
  <c r="J52" i="2"/>
  <c r="N37" i="2"/>
  <c r="L37" i="2"/>
  <c r="J57" i="2"/>
  <c r="I52" i="2"/>
  <c r="G57" i="2"/>
  <c r="M49" i="2"/>
  <c r="M56" i="2"/>
  <c r="F49" i="2"/>
  <c r="I57" i="2"/>
  <c r="K43" i="2"/>
  <c r="K62" i="2" s="1"/>
  <c r="K70" i="2" s="1"/>
  <c r="K37" i="2"/>
  <c r="O37" i="2"/>
  <c r="J43" i="2"/>
  <c r="J62" i="2" s="1"/>
  <c r="J70" i="2" s="1"/>
  <c r="H21" i="2"/>
  <c r="J21" i="2"/>
  <c r="S21" i="2"/>
  <c r="F37" i="2"/>
  <c r="S27" i="2"/>
  <c r="R28" i="2"/>
  <c r="I37" i="2"/>
  <c r="Q21" i="2"/>
  <c r="K21" i="2"/>
  <c r="P37" i="2"/>
  <c r="L21" i="2"/>
  <c r="N21" i="2"/>
  <c r="G21" i="2"/>
  <c r="R30" i="2"/>
  <c r="R36" i="2" s="1"/>
  <c r="Q31" i="2"/>
  <c r="H37" i="2"/>
  <c r="M37" i="2"/>
  <c r="Q36" i="2"/>
  <c r="N43" i="2"/>
  <c r="N62" i="2" s="1"/>
  <c r="R37" i="2" l="1"/>
  <c r="Q37" i="2"/>
  <c r="N52" i="2"/>
  <c r="S57" i="2"/>
  <c r="P57" i="2"/>
  <c r="S49" i="2"/>
  <c r="S48" i="2" s="1"/>
  <c r="R43" i="2"/>
  <c r="R42" i="2" s="1"/>
  <c r="O43" i="2"/>
  <c r="S56" i="2"/>
  <c r="S55" i="2" s="1"/>
  <c r="S68" i="2" s="1"/>
  <c r="Q52" i="2"/>
  <c r="Q43" i="2"/>
  <c r="Q42" i="2" s="1"/>
  <c r="R57" i="2"/>
  <c r="Q57" i="2"/>
  <c r="Q56" i="2"/>
  <c r="Q55" i="2" s="1"/>
  <c r="Q68" i="2" s="1"/>
  <c r="S52" i="2"/>
  <c r="S43" i="2"/>
  <c r="P43" i="2"/>
  <c r="N57" i="2"/>
  <c r="P52" i="2"/>
  <c r="R49" i="2"/>
  <c r="R48" i="2" s="1"/>
  <c r="N49" i="2"/>
  <c r="N48" i="2" s="1"/>
  <c r="P49" i="2"/>
  <c r="P48" i="2" s="1"/>
  <c r="Q49" i="2"/>
  <c r="Q48" i="2" s="1"/>
  <c r="O57" i="2"/>
  <c r="O49" i="2"/>
  <c r="O48" i="2" s="1"/>
  <c r="R56" i="2"/>
  <c r="R55" i="2" s="1"/>
  <c r="R68" i="2" s="1"/>
  <c r="N56" i="2"/>
  <c r="N55" i="2" s="1"/>
  <c r="N68" i="2" s="1"/>
  <c r="P56" i="2"/>
  <c r="P55" i="2" s="1"/>
  <c r="P68" i="2" s="1"/>
  <c r="O56" i="2"/>
  <c r="O55" i="2" s="1"/>
  <c r="O68" i="2" s="1"/>
  <c r="R52" i="2"/>
  <c r="O52" i="2"/>
  <c r="S28" i="2"/>
  <c r="S30" i="2"/>
  <c r="S31" i="2" s="1"/>
  <c r="R31" i="2"/>
  <c r="N51" i="2" l="1"/>
  <c r="N64" i="2" s="1"/>
  <c r="N66" i="2"/>
  <c r="R51" i="2"/>
  <c r="R64" i="2" s="1"/>
  <c r="R66" i="2"/>
  <c r="O42" i="2"/>
  <c r="O62" i="2"/>
  <c r="Q51" i="2"/>
  <c r="Q64" i="2" s="1"/>
  <c r="Q66" i="2"/>
  <c r="R62" i="2"/>
  <c r="O51" i="2"/>
  <c r="O64" i="2" s="1"/>
  <c r="O66" i="2"/>
  <c r="P42" i="2"/>
  <c r="P62" i="2"/>
  <c r="P51" i="2"/>
  <c r="P64" i="2" s="1"/>
  <c r="P66" i="2"/>
  <c r="S51" i="2"/>
  <c r="S64" i="2" s="1"/>
  <c r="S66" i="2"/>
  <c r="Q62" i="2"/>
  <c r="S36" i="2"/>
  <c r="P70" i="2" l="1"/>
  <c r="R70" i="2"/>
  <c r="N70" i="2"/>
  <c r="S37" i="2"/>
  <c r="S62" i="2"/>
  <c r="S70" i="2" s="1"/>
  <c r="Q70" i="2"/>
  <c r="O70" i="2"/>
  <c r="S42" i="2"/>
</calcChain>
</file>

<file path=xl/sharedStrings.xml><?xml version="1.0" encoding="utf-8"?>
<sst xmlns="http://schemas.openxmlformats.org/spreadsheetml/2006/main" count="383" uniqueCount="203">
  <si>
    <t>x</t>
  </si>
  <si>
    <t>Debt</t>
  </si>
  <si>
    <t>Total</t>
  </si>
  <si>
    <t>Revenue</t>
  </si>
  <si>
    <t>% growth</t>
  </si>
  <si>
    <t>% of sales</t>
  </si>
  <si>
    <t>EBIT</t>
  </si>
  <si>
    <t>Interest Expense</t>
  </si>
  <si>
    <t>Net Income</t>
  </si>
  <si>
    <t>EBITDA</t>
  </si>
  <si>
    <t>Capital Expenditures</t>
  </si>
  <si>
    <t>Depreciation</t>
  </si>
  <si>
    <t>Net Change in Cash</t>
  </si>
  <si>
    <t>Cash Flow from Financing</t>
  </si>
  <si>
    <t>Cash Flow from Investing</t>
  </si>
  <si>
    <t>Cash Flow from Operations</t>
  </si>
  <si>
    <t>-</t>
  </si>
  <si>
    <t>Unlevered Free Cash Flow</t>
  </si>
  <si>
    <t>Free Cash Flow</t>
  </si>
  <si>
    <t>Dec '29E</t>
  </si>
  <si>
    <t>Dec '28E</t>
  </si>
  <si>
    <t>Dec '27E</t>
  </si>
  <si>
    <t>Dec '26E</t>
  </si>
  <si>
    <t>Dec '25E</t>
  </si>
  <si>
    <t>Dec '24E</t>
  </si>
  <si>
    <t>Dec '23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</si>
  <si>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</si>
  <si>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</si>
  <si>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</si>
  <si>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</si>
  <si>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</si>
  <si>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</si>
  <si>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</si>
  <si>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</si>
  <si>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</si>
  <si>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CY '29E</t>
  </si>
  <si>
    <t>CY '28E</t>
  </si>
  <si>
    <t>CY '27E</t>
  </si>
  <si>
    <t>CY '26E</t>
  </si>
  <si>
    <t>CY '25E</t>
  </si>
  <si>
    <t>CY '24E</t>
  </si>
  <si>
    <t>CY '23</t>
  </si>
  <si>
    <t>CY '22</t>
  </si>
  <si>
    <t>CY '21</t>
  </si>
  <si>
    <t>CY '20</t>
  </si>
  <si>
    <t>CY '19</t>
  </si>
  <si>
    <t>CY '18</t>
  </si>
  <si>
    <t>CY '17</t>
  </si>
  <si>
    <t>CY '16</t>
  </si>
  <si>
    <t>CY '15</t>
  </si>
  <si>
    <t>CY '14</t>
  </si>
  <si>
    <t>Cash Flow (M)</t>
  </si>
  <si>
    <t>AMZN-US</t>
  </si>
  <si>
    <t>AWS-Geo</t>
  </si>
  <si>
    <t>International</t>
  </si>
  <si>
    <t>North America</t>
  </si>
  <si>
    <t>WFM- Geo</t>
  </si>
  <si>
    <t>- NA Media</t>
  </si>
  <si>
    <t>Operating Income</t>
  </si>
  <si>
    <t>- NA Other</t>
  </si>
  <si>
    <t>Sales</t>
  </si>
  <si>
    <t>Geographic Segments (M)</t>
  </si>
  <si>
    <t>All figures in millions of U.S. Dollar except per share items.</t>
  </si>
  <si>
    <t>Free Cash Flow Yield (%)</t>
  </si>
  <si>
    <t>Free Cash Flow per Share</t>
  </si>
  <si>
    <t>Exchange Rate Effect</t>
  </si>
  <si>
    <t>All Activities</t>
  </si>
  <si>
    <t>Net Financing Cash Flow</t>
  </si>
  <si>
    <t>Other Sources</t>
  </si>
  <si>
    <t>Other Funds</t>
  </si>
  <si>
    <t>Reduction in Long-Term Debt</t>
  </si>
  <si>
    <t>Issuance of Long-Term Debt</t>
  </si>
  <si>
    <t>Change in Long-Term Debt</t>
  </si>
  <si>
    <t>Change in Current Debt</t>
  </si>
  <si>
    <t>Issuance/Reduction of Debt, Net</t>
  </si>
  <si>
    <t>Repurchase of Common &amp; Preferred Stk.</t>
  </si>
  <si>
    <t>Change in Capital Stock</t>
  </si>
  <si>
    <t>Financing Activities</t>
  </si>
  <si>
    <t>Net Investing Cash Flow</t>
  </si>
  <si>
    <t>Sale/Maturity of Investments</t>
  </si>
  <si>
    <t>Purchase of Investments</t>
  </si>
  <si>
    <t>Purchase/Sale of Investments</t>
  </si>
  <si>
    <t>Sale of Fixed Assets &amp; Businesses</t>
  </si>
  <si>
    <t>Net Assets from Acquisitions</t>
  </si>
  <si>
    <t>Capital Expenditures (Fixed Assets)</t>
  </si>
  <si>
    <t>Investing Activities</t>
  </si>
  <si>
    <t>Net Operating Cash Flow</t>
  </si>
  <si>
    <t>Other Assets/Liabilities</t>
  </si>
  <si>
    <t>Other Accruals</t>
  </si>
  <si>
    <t>Accounts Payable</t>
  </si>
  <si>
    <t>Inventories</t>
  </si>
  <si>
    <t>Receivables</t>
  </si>
  <si>
    <t>Changes in Working Capital</t>
  </si>
  <si>
    <t>Funds from Operations</t>
  </si>
  <si>
    <t>Deferred Taxes</t>
  </si>
  <si>
    <t>Deferred Taxes &amp; Investment Tax Credit</t>
  </si>
  <si>
    <t>Amortization of Intangible Assets</t>
  </si>
  <si>
    <t>Depreciation and Depletion</t>
  </si>
  <si>
    <t>Depreciation, Depletion &amp; Amortization</t>
  </si>
  <si>
    <t>Net Income / Starting Line</t>
  </si>
  <si>
    <t>Operating Activities</t>
  </si>
  <si>
    <t>LTM</t>
  </si>
  <si>
    <t>JUN '24</t>
  </si>
  <si>
    <t>DEC '23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</si>
  <si>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</si>
  <si>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</si>
  <si>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</si>
  <si>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</si>
  <si>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</si>
  <si>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</si>
  <si>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</si>
  <si>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</si>
  <si>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</si>
  <si>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Source: FactSet Fundamentals</t>
  </si>
  <si>
    <t xml:space="preserve">AMZN   023135106   2000019   NASDAQ    Common stock    </t>
  </si>
  <si>
    <t>Amazon.com, Inc.</t>
  </si>
  <si>
    <t>$172.12</t>
  </si>
  <si>
    <t>Amazon.com, Inc. (AMZN)</t>
  </si>
  <si>
    <t>Depreciation &amp; Amortization Expense</t>
  </si>
  <si>
    <t>Earnings Persistence</t>
  </si>
  <si>
    <t>Total Shares Outstanding</t>
  </si>
  <si>
    <t>Diluted Shares Outstanding</t>
  </si>
  <si>
    <t>EPS (diluted)</t>
  </si>
  <si>
    <t>Basic Shares Outstanding</t>
  </si>
  <si>
    <t>EPS (basic)</t>
  </si>
  <si>
    <t>EPS (recurring)</t>
  </si>
  <si>
    <t>Per Share</t>
  </si>
  <si>
    <t>Net Income available to Common</t>
  </si>
  <si>
    <t>Consolidated Net Income</t>
  </si>
  <si>
    <t>Equity in Earnings of Affiliates</t>
  </si>
  <si>
    <t>Income Taxes - Deferred Foreign</t>
  </si>
  <si>
    <t>Income Taxes - Deferred Domestic</t>
  </si>
  <si>
    <t>Income Taxes - Current Foreign</t>
  </si>
  <si>
    <t>Income Taxes - Current Domestic</t>
  </si>
  <si>
    <t>Income Taxes</t>
  </si>
  <si>
    <t>Pretax Income</t>
  </si>
  <si>
    <t>Hedges/Derivatives</t>
  </si>
  <si>
    <t>Investments</t>
  </si>
  <si>
    <t>Unrealized Valuation Gain/Loss</t>
  </si>
  <si>
    <t>Unusual Expense - Net</t>
  </si>
  <si>
    <t>Gross Interest Expense</t>
  </si>
  <si>
    <t>Other Income (Expense)</t>
  </si>
  <si>
    <t>Nonoperating Interest Income</t>
  </si>
  <si>
    <t>Nonoperating Income - Net</t>
  </si>
  <si>
    <t>EBIT (Operating Income)</t>
  </si>
  <si>
    <t>Other SG&amp;A</t>
  </si>
  <si>
    <t>Research &amp; Development</t>
  </si>
  <si>
    <t>SG&amp;A Expense</t>
  </si>
  <si>
    <t>Gross Income</t>
  </si>
  <si>
    <t>Amortization of Intangibles</t>
  </si>
  <si>
    <t>COGS excluding D&amp;A</t>
  </si>
  <si>
    <t>Cost of Goods Sold (COGS) incl. D&amp;A</t>
  </si>
  <si>
    <t>WACC</t>
  </si>
  <si>
    <t>Market Cap</t>
  </si>
  <si>
    <t>% of Equity</t>
  </si>
  <si>
    <t>Cost of Equity</t>
  </si>
  <si>
    <t>Beta</t>
  </si>
  <si>
    <t>% of Debt</t>
  </si>
  <si>
    <t>Cost of Debt</t>
  </si>
  <si>
    <t>Tax Rate</t>
  </si>
  <si>
    <t>AMAZON-USA</t>
  </si>
  <si>
    <t>Taxes</t>
  </si>
  <si>
    <t>% tax rate</t>
  </si>
  <si>
    <t>Cash Flow Items</t>
  </si>
  <si>
    <t>Capex</t>
  </si>
  <si>
    <t>D&amp;A</t>
  </si>
  <si>
    <t>% of capex</t>
  </si>
  <si>
    <t>Change in NWC</t>
  </si>
  <si>
    <t>% of change in sales</t>
  </si>
  <si>
    <t>EBIT(1 - Tax Rate)</t>
  </si>
  <si>
    <t>(+)</t>
  </si>
  <si>
    <t>(-)</t>
  </si>
  <si>
    <t>FCFF</t>
  </si>
  <si>
    <r>
      <t>FCFF</t>
    </r>
    <r>
      <rPr>
        <b/>
        <i/>
        <sz val="8"/>
        <color theme="1"/>
        <rFont val="Calibri"/>
        <family val="2"/>
        <scheme val="minor"/>
      </rPr>
      <t xml:space="preserve"> (Unlevered FCF)</t>
    </r>
  </si>
  <si>
    <t>Risk free rate</t>
  </si>
  <si>
    <t>Market Risk premium</t>
  </si>
  <si>
    <t xml:space="preserve"> </t>
  </si>
  <si>
    <t>Figures in Million $s</t>
  </si>
  <si>
    <t>Figures in Milion $s</t>
  </si>
  <si>
    <r>
      <t xml:space="preserve">FCFF </t>
    </r>
    <r>
      <rPr>
        <b/>
        <i/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 xml:space="preserve"> Projections</t>
    </r>
  </si>
  <si>
    <t>DCF Valuation</t>
  </si>
  <si>
    <t>Unlevered FCF</t>
  </si>
  <si>
    <t>No. of Years</t>
  </si>
  <si>
    <t>PV of Unlevered FCF</t>
  </si>
  <si>
    <t>Terminal Value at end of year 5</t>
  </si>
  <si>
    <t>Ticker</t>
  </si>
  <si>
    <t>Valuation Date</t>
  </si>
  <si>
    <t>Discount Rate (WACC)</t>
  </si>
  <si>
    <t>AMZN</t>
  </si>
  <si>
    <r>
      <t xml:space="preserve">Growth Rate </t>
    </r>
    <r>
      <rPr>
        <b/>
        <i/>
        <sz val="9"/>
        <color theme="1" tint="0.34998626667073579"/>
        <rFont val="Calibri"/>
        <family val="2"/>
        <scheme val="minor"/>
      </rPr>
      <t>(GDP Growth Rate)</t>
    </r>
  </si>
  <si>
    <t>Terminal Value</t>
  </si>
  <si>
    <t>PV of Terminal Value</t>
  </si>
  <si>
    <t>Sum of PV of FCFF</t>
  </si>
  <si>
    <t>Equity Value</t>
  </si>
  <si>
    <t>Total no. of Diluted Shares</t>
  </si>
  <si>
    <t>Share Value</t>
  </si>
  <si>
    <t>Enterprise Value</t>
  </si>
  <si>
    <t>Total Debt</t>
  </si>
  <si>
    <t>Cash &amp; Equivalents</t>
  </si>
  <si>
    <t>Fair value per share</t>
  </si>
  <si>
    <t>Current Market Price</t>
  </si>
  <si>
    <t>Fair Value</t>
  </si>
  <si>
    <t>Premium/Discount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</si>
</sst>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0.0%"/>
    <numFmt numFmtId="165" formatCode="0&quot;A&quot;"/>
    <numFmt numFmtId="166" formatCode="0&quot;E&quot;"/>
    <numFmt numFmtId="167" formatCode="0%_);\(0%\);@_)"/>
    <numFmt numFmtId="168" formatCode="0%\ ;\ \(0%\)"/>
    <numFmt numFmtId="169" formatCode="0.00%\ ;\ \(0.00%\)"/>
    <numFmt numFmtId="170" formatCode="_ * #,##0_ ;_ * \-#,##0_ ;_ * &quot;-&quot;??_ ;_ @_ "/>
    <numFmt numFmtId="171" formatCode="&quot;$&quot;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b/>
      <sz val="20"/>
      <color theme="0" tint="-4.9989318521683403E-2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auto="1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3" fillId="2" borderId="2" xfId="0" applyFont="1" applyFill="1" applyBorder="1"/>
    <xf numFmtId="39" fontId="0" fillId="0" borderId="0" xfId="0" applyNumberFormat="1"/>
    <xf numFmtId="0" fontId="8" fillId="0" borderId="0" xfId="2"/>
    <xf numFmtId="3" fontId="8" fillId="4" borderId="0" xfId="2" applyNumberFormat="1" applyFill="1" applyAlignment="1">
      <alignment horizontal="right"/>
    </xf>
    <xf numFmtId="3" fontId="9" fillId="4" borderId="0" xfId="2" applyNumberFormat="1" applyFont="1" applyFill="1" applyAlignment="1">
      <alignment horizontal="right"/>
    </xf>
    <xf numFmtId="0" fontId="8" fillId="4" borderId="0" xfId="2" applyFill="1" applyAlignment="1">
      <alignment horizontal="left"/>
    </xf>
    <xf numFmtId="3" fontId="9" fillId="0" borderId="0" xfId="2" applyNumberFormat="1" applyFont="1" applyAlignment="1">
      <alignment horizontal="right"/>
    </xf>
    <xf numFmtId="0" fontId="8" fillId="0" borderId="0" xfId="2" applyAlignment="1">
      <alignment horizontal="left"/>
    </xf>
    <xf numFmtId="3" fontId="8" fillId="0" borderId="0" xfId="2" applyNumberFormat="1" applyAlignment="1">
      <alignment horizontal="right"/>
    </xf>
    <xf numFmtId="0" fontId="10" fillId="5" borderId="0" xfId="2" applyFont="1" applyFill="1" applyAlignment="1">
      <alignment horizontal="left"/>
    </xf>
    <xf numFmtId="0" fontId="10" fillId="0" borderId="0" xfId="2" applyFont="1"/>
    <xf numFmtId="0" fontId="8" fillId="4" borderId="0" xfId="2" quotePrefix="1" applyFill="1" applyAlignment="1">
      <alignment horizontal="left"/>
    </xf>
    <xf numFmtId="0" fontId="8" fillId="0" borderId="0" xfId="2" quotePrefix="1" applyAlignment="1">
      <alignment horizontal="left"/>
    </xf>
    <xf numFmtId="0" fontId="11" fillId="0" borderId="0" xfId="2" applyFont="1" applyAlignment="1">
      <alignment horizontal="left"/>
    </xf>
    <xf numFmtId="4" fontId="8" fillId="0" borderId="0" xfId="2" applyNumberFormat="1" applyAlignment="1">
      <alignment horizontal="right"/>
    </xf>
    <xf numFmtId="4" fontId="9" fillId="0" borderId="0" xfId="2" applyNumberFormat="1" applyFont="1" applyAlignment="1">
      <alignment horizontal="right"/>
    </xf>
    <xf numFmtId="0" fontId="8" fillId="0" borderId="0" xfId="2" applyAlignment="1">
      <alignment horizontal="left" indent="4"/>
    </xf>
    <xf numFmtId="0" fontId="8" fillId="4" borderId="0" xfId="2" applyFill="1" applyAlignment="1">
      <alignment horizontal="left" indent="4"/>
    </xf>
    <xf numFmtId="3" fontId="12" fillId="0" borderId="0" xfId="2" applyNumberFormat="1" applyFont="1" applyAlignment="1">
      <alignment horizontal="right"/>
    </xf>
    <xf numFmtId="0" fontId="12" fillId="0" borderId="0" xfId="2" applyFont="1" applyAlignment="1">
      <alignment horizontal="left" indent="3"/>
    </xf>
    <xf numFmtId="0" fontId="8" fillId="4" borderId="0" xfId="2" applyFill="1" applyAlignment="1">
      <alignment horizontal="left" indent="1"/>
    </xf>
    <xf numFmtId="0" fontId="8" fillId="0" borderId="0" xfId="2" applyAlignment="1">
      <alignment horizontal="left" indent="1"/>
    </xf>
    <xf numFmtId="0" fontId="12" fillId="4" borderId="0" xfId="2" applyFont="1" applyFill="1" applyAlignment="1">
      <alignment horizontal="left"/>
    </xf>
    <xf numFmtId="0" fontId="8" fillId="4" borderId="0" xfId="2" applyFill="1" applyAlignment="1">
      <alignment horizontal="left" indent="7"/>
    </xf>
    <xf numFmtId="0" fontId="8" fillId="0" borderId="0" xfId="2" applyAlignment="1">
      <alignment horizontal="left" indent="7"/>
    </xf>
    <xf numFmtId="3" fontId="12" fillId="4" borderId="0" xfId="2" applyNumberFormat="1" applyFont="1" applyFill="1" applyAlignment="1">
      <alignment horizontal="right"/>
    </xf>
    <xf numFmtId="0" fontId="12" fillId="4" borderId="0" xfId="2" applyFont="1" applyFill="1" applyAlignment="1">
      <alignment horizontal="left" indent="6"/>
    </xf>
    <xf numFmtId="0" fontId="12" fillId="4" borderId="0" xfId="2" applyFont="1" applyFill="1" applyAlignment="1">
      <alignment horizontal="left" indent="3"/>
    </xf>
    <xf numFmtId="0" fontId="12" fillId="0" borderId="0" xfId="2" applyFont="1" applyAlignment="1">
      <alignment horizontal="left"/>
    </xf>
    <xf numFmtId="0" fontId="8" fillId="0" borderId="6" xfId="2" applyBorder="1"/>
    <xf numFmtId="0" fontId="8" fillId="0" borderId="7" xfId="2" applyBorder="1"/>
    <xf numFmtId="4" fontId="8" fillId="4" borderId="0" xfId="2" applyNumberFormat="1" applyFill="1" applyAlignment="1">
      <alignment horizontal="right"/>
    </xf>
    <xf numFmtId="4" fontId="12" fillId="0" borderId="0" xfId="2" applyNumberFormat="1" applyFont="1" applyAlignment="1">
      <alignment horizontal="right"/>
    </xf>
    <xf numFmtId="4" fontId="12" fillId="4" borderId="0" xfId="2" applyNumberFormat="1" applyFont="1" applyFill="1" applyAlignment="1">
      <alignment horizontal="right"/>
    </xf>
    <xf numFmtId="0" fontId="12" fillId="0" borderId="0" xfId="2" applyFont="1" applyAlignment="1">
      <alignment horizontal="left" indent="6"/>
    </xf>
    <xf numFmtId="0" fontId="0" fillId="6" borderId="0" xfId="0" applyFill="1"/>
    <xf numFmtId="3" fontId="0" fillId="0" borderId="0" xfId="0" applyNumberFormat="1"/>
    <xf numFmtId="0" fontId="8" fillId="0" borderId="0" xfId="2" applyAlignment="1">
      <alignment horizontal="right"/>
    </xf>
    <xf numFmtId="0" fontId="8" fillId="4" borderId="0" xfId="2" applyFill="1" applyAlignment="1">
      <alignment horizontal="right"/>
    </xf>
    <xf numFmtId="0" fontId="10" fillId="0" borderId="0" xfId="2" applyFont="1" applyAlignment="1">
      <alignment horizontal="left"/>
    </xf>
    <xf numFmtId="3" fontId="10" fillId="0" borderId="0" xfId="2" applyNumberFormat="1" applyFont="1" applyAlignment="1">
      <alignment horizontal="right"/>
    </xf>
    <xf numFmtId="0" fontId="10" fillId="4" borderId="0" xfId="2" applyFont="1" applyFill="1" applyAlignment="1">
      <alignment horizontal="left"/>
    </xf>
    <xf numFmtId="3" fontId="10" fillId="4" borderId="0" xfId="2" applyNumberFormat="1" applyFont="1" applyFill="1" applyAlignment="1">
      <alignment horizontal="right"/>
    </xf>
    <xf numFmtId="3" fontId="5" fillId="0" borderId="0" xfId="0" applyNumberFormat="1" applyFont="1"/>
    <xf numFmtId="3" fontId="3" fillId="2" borderId="5" xfId="0" applyNumberFormat="1" applyFont="1" applyFill="1" applyBorder="1"/>
    <xf numFmtId="37" fontId="5" fillId="0" borderId="0" xfId="0" applyNumberFormat="1" applyFont="1"/>
    <xf numFmtId="167" fontId="6" fillId="0" borderId="0" xfId="1" applyNumberFormat="1" applyFont="1"/>
    <xf numFmtId="167" fontId="7" fillId="0" borderId="0" xfId="1" applyNumberFormat="1" applyFont="1"/>
    <xf numFmtId="167" fontId="6" fillId="0" borderId="0" xfId="1" applyNumberFormat="1" applyFont="1" applyAlignment="1">
      <alignment horizontal="right"/>
    </xf>
    <xf numFmtId="0" fontId="3" fillId="0" borderId="0" xfId="0" applyFont="1"/>
    <xf numFmtId="1" fontId="0" fillId="0" borderId="0" xfId="0" applyNumberFormat="1" applyAlignment="1">
      <alignment horizontal="right"/>
    </xf>
    <xf numFmtId="165" fontId="3" fillId="7" borderId="0" xfId="0" applyNumberFormat="1" applyFont="1" applyFill="1"/>
    <xf numFmtId="166" fontId="3" fillId="7" borderId="0" xfId="0" applyNumberFormat="1" applyFont="1" applyFill="1"/>
    <xf numFmtId="0" fontId="15" fillId="0" borderId="0" xfId="0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0" fontId="0" fillId="2" borderId="1" xfId="0" applyFill="1" applyBorder="1"/>
    <xf numFmtId="10" fontId="15" fillId="2" borderId="1" xfId="1" applyNumberFormat="1" applyFont="1" applyFill="1" applyBorder="1" applyAlignment="1">
      <alignment horizontal="center" vertical="center"/>
    </xf>
    <xf numFmtId="9" fontId="14" fillId="0" borderId="0" xfId="1" applyFont="1" applyFill="1" applyBorder="1" applyAlignment="1">
      <alignment horizontal="center" vertical="center"/>
    </xf>
    <xf numFmtId="9" fontId="15" fillId="0" borderId="0" xfId="1" applyFont="1" applyAlignment="1">
      <alignment horizontal="center" vertical="center"/>
    </xf>
    <xf numFmtId="168" fontId="15" fillId="0" borderId="0" xfId="1" applyNumberFormat="1" applyFont="1" applyAlignment="1">
      <alignment horizontal="center" vertical="center"/>
    </xf>
    <xf numFmtId="0" fontId="0" fillId="8" borderId="0" xfId="0" applyFill="1"/>
    <xf numFmtId="3" fontId="0" fillId="8" borderId="0" xfId="0" applyNumberFormat="1" applyFill="1"/>
    <xf numFmtId="10" fontId="15" fillId="8" borderId="0" xfId="1" applyNumberFormat="1" applyFont="1" applyFill="1" applyAlignment="1">
      <alignment horizontal="center" vertical="center"/>
    </xf>
    <xf numFmtId="1" fontId="0" fillId="8" borderId="0" xfId="0" applyNumberFormat="1" applyFill="1" applyAlignment="1">
      <alignment horizontal="right"/>
    </xf>
    <xf numFmtId="9" fontId="14" fillId="8" borderId="0" xfId="1" applyFont="1" applyFill="1" applyBorder="1" applyAlignment="1">
      <alignment horizontal="center" vertical="center"/>
    </xf>
    <xf numFmtId="9" fontId="15" fillId="8" borderId="0" xfId="1" applyFont="1" applyFill="1" applyAlignment="1">
      <alignment horizontal="center" vertical="center"/>
    </xf>
    <xf numFmtId="169" fontId="15" fillId="8" borderId="0" xfId="1" applyNumberFormat="1" applyFont="1" applyFill="1" applyAlignment="1">
      <alignment horizontal="center" vertical="center"/>
    </xf>
    <xf numFmtId="168" fontId="15" fillId="8" borderId="0" xfId="1" applyNumberFormat="1" applyFont="1" applyFill="1" applyAlignment="1">
      <alignment horizontal="center" vertical="center"/>
    </xf>
    <xf numFmtId="0" fontId="3" fillId="7" borderId="8" xfId="0" applyFont="1" applyFill="1" applyBorder="1"/>
    <xf numFmtId="0" fontId="0" fillId="0" borderId="8" xfId="0" applyBorder="1"/>
    <xf numFmtId="0" fontId="3" fillId="0" borderId="8" xfId="0" applyFont="1" applyBorder="1"/>
    <xf numFmtId="0" fontId="15" fillId="0" borderId="8" xfId="0" applyFont="1" applyBorder="1" applyAlignment="1">
      <alignment horizontal="center" vertical="center"/>
    </xf>
    <xf numFmtId="0" fontId="3" fillId="2" borderId="9" xfId="0" applyFont="1" applyFill="1" applyBorder="1"/>
    <xf numFmtId="0" fontId="14" fillId="2" borderId="10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6" fontId="3" fillId="7" borderId="8" xfId="0" applyNumberFormat="1" applyFont="1" applyFill="1" applyBorder="1"/>
    <xf numFmtId="0" fontId="0" fillId="8" borderId="8" xfId="0" applyFill="1" applyBorder="1"/>
    <xf numFmtId="3" fontId="0" fillId="8" borderId="8" xfId="0" applyNumberFormat="1" applyFill="1" applyBorder="1"/>
    <xf numFmtId="10" fontId="15" fillId="8" borderId="8" xfId="1" applyNumberFormat="1" applyFont="1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right"/>
    </xf>
    <xf numFmtId="9" fontId="14" fillId="8" borderId="8" xfId="1" applyFont="1" applyFill="1" applyBorder="1" applyAlignment="1">
      <alignment horizontal="center" vertical="center"/>
    </xf>
    <xf numFmtId="9" fontId="15" fillId="8" borderId="8" xfId="1" applyFont="1" applyFill="1" applyBorder="1" applyAlignment="1">
      <alignment horizontal="center" vertical="center"/>
    </xf>
    <xf numFmtId="169" fontId="15" fillId="8" borderId="8" xfId="1" applyNumberFormat="1" applyFont="1" applyFill="1" applyBorder="1" applyAlignment="1">
      <alignment horizontal="center" vertical="center"/>
    </xf>
    <xf numFmtId="168" fontId="15" fillId="8" borderId="8" xfId="1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0" fillId="0" borderId="4" xfId="0" applyBorder="1"/>
    <xf numFmtId="0" fontId="3" fillId="7" borderId="11" xfId="0" applyFont="1" applyFill="1" applyBorder="1"/>
    <xf numFmtId="0" fontId="0" fillId="0" borderId="12" xfId="0" applyBorder="1"/>
    <xf numFmtId="0" fontId="3" fillId="0" borderId="12" xfId="0" applyFont="1" applyBorder="1"/>
    <xf numFmtId="0" fontId="15" fillId="0" borderId="12" xfId="0" applyFont="1" applyBorder="1" applyAlignment="1">
      <alignment horizontal="center" vertical="center"/>
    </xf>
    <xf numFmtId="0" fontId="3" fillId="2" borderId="11" xfId="0" applyFont="1" applyFill="1" applyBorder="1"/>
    <xf numFmtId="0" fontId="14" fillId="2" borderId="13" xfId="0" applyFont="1" applyFill="1" applyBorder="1" applyAlignment="1">
      <alignment horizontal="center" vertical="center"/>
    </xf>
    <xf numFmtId="0" fontId="3" fillId="7" borderId="12" xfId="0" applyFont="1" applyFill="1" applyBorder="1"/>
    <xf numFmtId="0" fontId="14" fillId="0" borderId="12" xfId="0" applyFont="1" applyBorder="1" applyAlignment="1">
      <alignment horizontal="center" vertical="center"/>
    </xf>
    <xf numFmtId="0" fontId="3" fillId="7" borderId="9" xfId="0" applyFont="1" applyFill="1" applyBorder="1"/>
    <xf numFmtId="165" fontId="3" fillId="7" borderId="5" xfId="0" applyNumberFormat="1" applyFont="1" applyFill="1" applyBorder="1"/>
    <xf numFmtId="166" fontId="3" fillId="7" borderId="5" xfId="0" applyNumberFormat="1" applyFont="1" applyFill="1" applyBorder="1"/>
    <xf numFmtId="166" fontId="3" fillId="7" borderId="9" xfId="0" applyNumberFormat="1" applyFont="1" applyFill="1" applyBorder="1"/>
    <xf numFmtId="3" fontId="3" fillId="2" borderId="9" xfId="0" applyNumberFormat="1" applyFont="1" applyFill="1" applyBorder="1"/>
    <xf numFmtId="10" fontId="15" fillId="2" borderId="10" xfId="1" applyNumberFormat="1" applyFont="1" applyFill="1" applyBorder="1" applyAlignment="1">
      <alignment horizontal="center" vertical="center"/>
    </xf>
    <xf numFmtId="0" fontId="0" fillId="2" borderId="4" xfId="0" applyFill="1" applyBorder="1"/>
    <xf numFmtId="3" fontId="3" fillId="2" borderId="3" xfId="0" applyNumberFormat="1" applyFont="1" applyFill="1" applyBorder="1"/>
    <xf numFmtId="3" fontId="3" fillId="2" borderId="4" xfId="0" applyNumberFormat="1" applyFont="1" applyFill="1" applyBorder="1"/>
    <xf numFmtId="0" fontId="18" fillId="6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0" fillId="0" borderId="11" xfId="0" applyBorder="1"/>
    <xf numFmtId="0" fontId="0" fillId="0" borderId="5" xfId="0" applyBorder="1"/>
    <xf numFmtId="170" fontId="19" fillId="0" borderId="9" xfId="3" applyNumberFormat="1" applyFont="1" applyBorder="1"/>
    <xf numFmtId="10" fontId="0" fillId="0" borderId="8" xfId="1" applyNumberFormat="1" applyFont="1" applyBorder="1"/>
    <xf numFmtId="10" fontId="19" fillId="0" borderId="8" xfId="0" applyNumberFormat="1" applyFont="1" applyBorder="1"/>
    <xf numFmtId="0" fontId="19" fillId="0" borderId="8" xfId="0" applyFont="1" applyBorder="1"/>
    <xf numFmtId="170" fontId="19" fillId="0" borderId="8" xfId="3" applyNumberFormat="1" applyFont="1" applyBorder="1"/>
    <xf numFmtId="164" fontId="1" fillId="0" borderId="0" xfId="1" applyNumberFormat="1" applyFont="1" applyBorder="1"/>
    <xf numFmtId="0" fontId="0" fillId="0" borderId="14" xfId="0" applyBorder="1"/>
    <xf numFmtId="0" fontId="0" fillId="0" borderId="15" xfId="0" applyBorder="1"/>
    <xf numFmtId="10" fontId="0" fillId="0" borderId="16" xfId="1" applyNumberFormat="1" applyFont="1" applyBorder="1"/>
    <xf numFmtId="0" fontId="0" fillId="0" borderId="3" xfId="0" applyBorder="1"/>
    <xf numFmtId="10" fontId="3" fillId="0" borderId="4" xfId="1" applyNumberFormat="1" applyFont="1" applyBorder="1"/>
    <xf numFmtId="10" fontId="3" fillId="0" borderId="4" xfId="0" applyNumberFormat="1" applyFont="1" applyBorder="1"/>
    <xf numFmtId="0" fontId="0" fillId="0" borderId="9" xfId="0" applyBorder="1"/>
    <xf numFmtId="0" fontId="0" fillId="0" borderId="16" xfId="0" applyBorder="1"/>
    <xf numFmtId="0" fontId="2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7" borderId="2" xfId="0" applyFont="1" applyFill="1" applyBorder="1"/>
    <xf numFmtId="0" fontId="0" fillId="7" borderId="3" xfId="0" applyFill="1" applyBorder="1"/>
    <xf numFmtId="0" fontId="0" fillId="7" borderId="4" xfId="0" applyFill="1" applyBorder="1"/>
    <xf numFmtId="10" fontId="3" fillId="7" borderId="4" xfId="1" applyNumberFormat="1" applyFont="1" applyFill="1" applyBorder="1"/>
    <xf numFmtId="10" fontId="15" fillId="0" borderId="0" xfId="1" applyNumberFormat="1" applyFont="1" applyFill="1" applyAlignment="1">
      <alignment horizontal="center" vertical="center"/>
    </xf>
    <xf numFmtId="9" fontId="15" fillId="0" borderId="0" xfId="1" applyFont="1" applyFill="1" applyAlignment="1">
      <alignment horizontal="center" vertical="center"/>
    </xf>
    <xf numFmtId="169" fontId="15" fillId="0" borderId="0" xfId="1" applyNumberFormat="1" applyFont="1" applyFill="1" applyAlignment="1">
      <alignment horizontal="center" vertical="center"/>
    </xf>
    <xf numFmtId="168" fontId="15" fillId="0" borderId="0" xfId="1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9" borderId="0" xfId="0" applyFill="1" applyAlignment="1">
      <alignment horizontal="right" vertical="center"/>
    </xf>
    <xf numFmtId="15" fontId="0" fillId="7" borderId="0" xfId="0" applyNumberFormat="1" applyFill="1"/>
    <xf numFmtId="10" fontId="0" fillId="3" borderId="0" xfId="0" applyNumberFormat="1" applyFill="1"/>
    <xf numFmtId="3" fontId="0" fillId="0" borderId="8" xfId="0" applyNumberFormat="1" applyBorder="1"/>
    <xf numFmtId="0" fontId="19" fillId="0" borderId="0" xfId="0" applyFont="1"/>
    <xf numFmtId="0" fontId="0" fillId="7" borderId="11" xfId="0" applyFill="1" applyBorder="1"/>
    <xf numFmtId="0" fontId="0" fillId="7" borderId="5" xfId="0" applyFill="1" applyBorder="1"/>
    <xf numFmtId="0" fontId="3" fillId="7" borderId="5" xfId="0" applyFont="1" applyFill="1" applyBorder="1"/>
    <xf numFmtId="0" fontId="0" fillId="7" borderId="9" xfId="0" applyFill="1" applyBorder="1"/>
    <xf numFmtId="0" fontId="3" fillId="0" borderId="13" xfId="0" applyFont="1" applyBorder="1"/>
    <xf numFmtId="0" fontId="3" fillId="0" borderId="1" xfId="0" applyFont="1" applyBorder="1"/>
    <xf numFmtId="170" fontId="3" fillId="0" borderId="10" xfId="3" applyNumberFormat="1" applyFont="1" applyBorder="1"/>
    <xf numFmtId="0" fontId="3" fillId="9" borderId="2" xfId="0" applyFont="1" applyFill="1" applyBorder="1"/>
    <xf numFmtId="0" fontId="3" fillId="9" borderId="3" xfId="0" applyFont="1" applyFill="1" applyBorder="1"/>
    <xf numFmtId="170" fontId="3" fillId="9" borderId="4" xfId="3" applyNumberFormat="1" applyFont="1" applyFill="1" applyBorder="1"/>
    <xf numFmtId="0" fontId="0" fillId="0" borderId="17" xfId="0" applyBorder="1"/>
    <xf numFmtId="0" fontId="0" fillId="0" borderId="18" xfId="0" applyBorder="1"/>
    <xf numFmtId="170" fontId="0" fillId="0" borderId="19" xfId="3" applyNumberFormat="1" applyFont="1" applyBorder="1"/>
    <xf numFmtId="170" fontId="3" fillId="0" borderId="1" xfId="3" applyNumberFormat="1" applyFont="1" applyBorder="1"/>
    <xf numFmtId="170" fontId="0" fillId="0" borderId="8" xfId="0" applyNumberFormat="1" applyBorder="1"/>
    <xf numFmtId="0" fontId="0" fillId="0" borderId="0" xfId="0" applyAlignment="1">
      <alignment horizontal="right" vertical="center"/>
    </xf>
    <xf numFmtId="0" fontId="3" fillId="0" borderId="18" xfId="0" applyFont="1" applyBorder="1"/>
    <xf numFmtId="0" fontId="3" fillId="0" borderId="17" xfId="0" applyFont="1" applyBorder="1"/>
    <xf numFmtId="170" fontId="3" fillId="0" borderId="19" xfId="0" applyNumberFormat="1" applyFont="1" applyBorder="1"/>
    <xf numFmtId="170" fontId="3" fillId="0" borderId="8" xfId="0" applyNumberFormat="1" applyFont="1" applyBorder="1"/>
    <xf numFmtId="170" fontId="0" fillId="0" borderId="8" xfId="3" applyNumberFormat="1" applyFont="1" applyBorder="1"/>
    <xf numFmtId="9" fontId="0" fillId="9" borderId="0" xfId="1" applyFont="1" applyFill="1"/>
    <xf numFmtId="171" fontId="0" fillId="3" borderId="0" xfId="0" applyNumberFormat="1" applyFill="1"/>
    <xf numFmtId="171" fontId="0" fillId="7" borderId="0" xfId="0" applyNumberFormat="1" applyFill="1"/>
    <xf numFmtId="0" fontId="13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18" fillId="6" borderId="0" xfId="0" applyFont="1" applyFill="1" applyAlignment="1">
      <alignment horizontal="left" vertical="center"/>
    </xf>
  </cellXfs>
  <cellStyles count="4">
    <cellStyle name="Comma" xfId="3" builtinId="3"/>
    <cellStyle name="Normal" xfId="0" builtinId="0"/>
    <cellStyle name="Normal 2" xfId="2" xr:uid="{050E5AFE-B2D3-41EB-98AB-FB21231BE172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fc5d5c8c4852779/Desktop/2024.08.13%20-%20Burger%20King%20LBO%20Stream%20-%20Part%202.xlsx" TargetMode="External"/><Relationship Id="rId1" Type="http://schemas.openxmlformats.org/officeDocument/2006/relationships/externalLinkPath" Target="https://d.docs.live.net/4fc5d5c8c4852779/Desktop/Models/LBOs/2024.08.13%20-%20Burger%20King%20LBO%20Stream%20-%20Par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fc5d5c8c4852779/Desktop/Models/Chipotle/2024.07.27%20-%20Chipotle%20DCF.xlsx" TargetMode="External"/><Relationship Id="rId1" Type="http://schemas.openxmlformats.org/officeDocument/2006/relationships/externalLinkPath" Target="https://d.docs.live.net/4fc5d5c8c4852779/Desktop/Models/Chipotle/2024.07.27%20-%20Chipotle%20D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LBO"/>
      <sheetName val="Shares"/>
    </sheetNames>
    <sheetDataSet>
      <sheetData sheetId="0"/>
      <sheetData sheetId="1">
        <row r="6">
          <cell r="E6" t="str">
            <v>OFF</v>
          </cell>
        </row>
        <row r="8">
          <cell r="E8">
            <v>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DCF"/>
      <sheetName val="WACC"/>
      <sheetName val="Shares"/>
      <sheetName val="IS - Historicals"/>
      <sheetName val="IS - Forecast"/>
      <sheetName val="CFS - Historicals"/>
      <sheetName val="CFS - Forecast"/>
    </sheetNames>
    <sheetDataSet>
      <sheetData sheetId="0" refreshError="1"/>
      <sheetData sheetId="1" refreshError="1">
        <row r="18">
          <cell r="E18">
            <v>8.4806000000000006E-2</v>
          </cell>
        </row>
        <row r="19">
          <cell r="E19">
            <v>2.5000000000000001E-2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B51B-E0BB-4FE4-80CA-E4DE97C984FB}">
  <dimension ref="A1:Y114"/>
  <sheetViews>
    <sheetView tabSelected="1" zoomScale="86" zoomScaleNormal="86" workbookViewId="0">
      <selection activeCell="T33" sqref="T33"/>
    </sheetView>
  </sheetViews>
  <sheetFormatPr defaultColWidth="15.5546875" defaultRowHeight="14.4" x14ac:dyDescent="0.3"/>
  <cols>
    <col min="1" max="1" width="2.33203125" style="2" customWidth="1"/>
    <col min="2" max="2" width="15" bestFit="1" customWidth="1"/>
    <col min="3" max="3" width="6.77734375" customWidth="1"/>
    <col min="4" max="4" width="8.21875" bestFit="1" customWidth="1"/>
    <col min="5" max="19" width="9.77734375" customWidth="1"/>
  </cols>
  <sheetData>
    <row r="1" spans="1:25" ht="4.95" customHeight="1" x14ac:dyDescent="0.3">
      <c r="A1"/>
    </row>
    <row r="2" spans="1:25" s="1" customFormat="1" ht="14.4" customHeight="1" x14ac:dyDescent="0.3">
      <c r="A2"/>
      <c r="B2" s="166" t="s">
        <v>160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/>
      <c r="U2"/>
      <c r="V2"/>
      <c r="W2"/>
      <c r="X2"/>
      <c r="Y2"/>
    </row>
    <row r="3" spans="1:25" ht="14.4" customHeight="1" x14ac:dyDescent="0.3">
      <c r="A3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</row>
    <row r="4" spans="1:25" x14ac:dyDescent="0.3">
      <c r="A4"/>
    </row>
    <row r="5" spans="1:25" x14ac:dyDescent="0.3">
      <c r="A5"/>
    </row>
    <row r="6" spans="1:25" x14ac:dyDescent="0.3">
      <c r="A6"/>
      <c r="B6" s="167" t="s">
        <v>179</v>
      </c>
      <c r="C6" s="167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</row>
    <row r="7" spans="1:25" x14ac:dyDescent="0.3">
      <c r="A7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5" x14ac:dyDescent="0.3">
      <c r="A8"/>
      <c r="B8" s="56" t="s">
        <v>178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5" ht="14.4" customHeight="1" x14ac:dyDescent="0.3">
      <c r="A9"/>
      <c r="B9" s="90" t="s">
        <v>3</v>
      </c>
      <c r="C9" s="98"/>
      <c r="D9" s="99">
        <v>2014</v>
      </c>
      <c r="E9" s="99">
        <v>2015</v>
      </c>
      <c r="F9" s="99">
        <v>2016</v>
      </c>
      <c r="G9" s="99">
        <v>2017</v>
      </c>
      <c r="H9" s="99">
        <v>2018</v>
      </c>
      <c r="I9" s="99">
        <v>2019</v>
      </c>
      <c r="J9" s="99">
        <v>2020</v>
      </c>
      <c r="K9" s="99">
        <v>2021</v>
      </c>
      <c r="L9" s="99">
        <v>2022</v>
      </c>
      <c r="M9" s="99">
        <v>2023</v>
      </c>
      <c r="N9" s="99">
        <v>2024</v>
      </c>
      <c r="O9" s="100">
        <v>2025</v>
      </c>
      <c r="P9" s="100">
        <v>2026</v>
      </c>
      <c r="Q9" s="100">
        <v>2027</v>
      </c>
      <c r="R9" s="100">
        <v>2028</v>
      </c>
      <c r="S9" s="101">
        <v>2029</v>
      </c>
    </row>
    <row r="10" spans="1:25" x14ac:dyDescent="0.3">
      <c r="A10"/>
      <c r="B10" s="91"/>
      <c r="C10" s="72"/>
      <c r="O10" s="63"/>
      <c r="P10" s="63"/>
      <c r="Q10" s="63"/>
      <c r="R10" s="63"/>
      <c r="S10" s="80"/>
    </row>
    <row r="11" spans="1:25" x14ac:dyDescent="0.3">
      <c r="A11"/>
      <c r="B11" s="92" t="s">
        <v>55</v>
      </c>
      <c r="C11" s="73"/>
      <c r="D11" s="39">
        <f>Segments!B6</f>
        <v>55469</v>
      </c>
      <c r="E11" s="39">
        <f>Segments!C6</f>
        <v>63708</v>
      </c>
      <c r="F11" s="39">
        <f>Segments!D6</f>
        <v>79785</v>
      </c>
      <c r="G11" s="39">
        <f>Segments!E6</f>
        <v>106110</v>
      </c>
      <c r="H11" s="39">
        <f>Segments!F6</f>
        <v>141366</v>
      </c>
      <c r="I11" s="39">
        <f>Segments!G6</f>
        <v>170773</v>
      </c>
      <c r="J11" s="39">
        <f>Segments!H6</f>
        <v>236282</v>
      </c>
      <c r="K11" s="39">
        <f>Segments!I6</f>
        <v>279833</v>
      </c>
      <c r="L11" s="39">
        <f>Segments!J6</f>
        <v>315880</v>
      </c>
      <c r="M11" s="39">
        <f>Segments!K6</f>
        <v>352828</v>
      </c>
      <c r="N11" s="39">
        <f>Segments!L6</f>
        <v>386647</v>
      </c>
      <c r="O11" s="64">
        <f>Segments!M6</f>
        <v>423461</v>
      </c>
      <c r="P11" s="64">
        <f>Segments!N6</f>
        <v>461471</v>
      </c>
      <c r="Q11" s="64">
        <f>Segments!O6</f>
        <v>497416</v>
      </c>
      <c r="R11" s="64">
        <f>Segments!P6</f>
        <v>546306</v>
      </c>
      <c r="S11" s="81">
        <f>Segments!Q6</f>
        <v>590847</v>
      </c>
    </row>
    <row r="12" spans="1:25" x14ac:dyDescent="0.3">
      <c r="A12"/>
      <c r="B12" s="93" t="s">
        <v>4</v>
      </c>
      <c r="C12" s="74"/>
      <c r="D12" s="39"/>
      <c r="E12" s="57">
        <f>(E11/D11)-1</f>
        <v>0.14853341506066453</v>
      </c>
      <c r="F12" s="57">
        <f t="shared" ref="F12:S12" si="0">(F11/E11)-1</f>
        <v>0.25235449237144469</v>
      </c>
      <c r="G12" s="57">
        <f t="shared" si="0"/>
        <v>0.32994923857868019</v>
      </c>
      <c r="H12" s="57">
        <f t="shared" si="0"/>
        <v>0.33225897653378578</v>
      </c>
      <c r="I12" s="57">
        <f t="shared" si="0"/>
        <v>0.20802031605902416</v>
      </c>
      <c r="J12" s="57">
        <f t="shared" si="0"/>
        <v>0.38360279435273736</v>
      </c>
      <c r="K12" s="57">
        <f t="shared" si="0"/>
        <v>0.1843178913332375</v>
      </c>
      <c r="L12" s="57">
        <f t="shared" si="0"/>
        <v>0.12881611532592663</v>
      </c>
      <c r="M12" s="57">
        <f t="shared" si="0"/>
        <v>0.11696846903887548</v>
      </c>
      <c r="N12" s="132">
        <f t="shared" si="0"/>
        <v>9.5851236296438991E-2</v>
      </c>
      <c r="O12" s="65">
        <f t="shared" si="0"/>
        <v>9.5213463443399204E-2</v>
      </c>
      <c r="P12" s="65">
        <f t="shared" si="0"/>
        <v>8.9760332120313313E-2</v>
      </c>
      <c r="Q12" s="65">
        <f t="shared" si="0"/>
        <v>7.7892218579282302E-2</v>
      </c>
      <c r="R12" s="65">
        <f t="shared" si="0"/>
        <v>9.8287952136642209E-2</v>
      </c>
      <c r="S12" s="82">
        <f t="shared" si="0"/>
        <v>8.1531229750359646E-2</v>
      </c>
    </row>
    <row r="13" spans="1:25" x14ac:dyDescent="0.3">
      <c r="A13"/>
      <c r="B13" s="92"/>
      <c r="C13" s="73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64"/>
      <c r="P13" s="64"/>
      <c r="Q13" s="64"/>
      <c r="R13" s="64"/>
      <c r="S13" s="81"/>
    </row>
    <row r="14" spans="1:25" x14ac:dyDescent="0.3">
      <c r="A14"/>
      <c r="B14" s="92" t="s">
        <v>54</v>
      </c>
      <c r="C14" s="73"/>
      <c r="D14" s="39">
        <f>Segments!B8</f>
        <v>33519</v>
      </c>
      <c r="E14" s="39">
        <f>Segments!C8</f>
        <v>35418</v>
      </c>
      <c r="F14" s="39">
        <f>Segments!D8</f>
        <v>43983</v>
      </c>
      <c r="G14" s="39">
        <f>Segments!E8</f>
        <v>54297</v>
      </c>
      <c r="H14" s="39">
        <f>Segments!F8</f>
        <v>65866</v>
      </c>
      <c r="I14" s="39">
        <f>Segments!G8</f>
        <v>74723</v>
      </c>
      <c r="J14" s="39">
        <f>Segments!H8</f>
        <v>104412</v>
      </c>
      <c r="K14" s="39">
        <f>Segments!I8</f>
        <v>127787</v>
      </c>
      <c r="L14" s="39">
        <f>Segments!J8</f>
        <v>118007</v>
      </c>
      <c r="M14" s="39">
        <f>Segments!K8</f>
        <v>131200</v>
      </c>
      <c r="N14" s="39">
        <f>Segments!L8</f>
        <v>141444</v>
      </c>
      <c r="O14" s="64">
        <f>Segments!M8</f>
        <v>154680</v>
      </c>
      <c r="P14" s="64">
        <f>Segments!N8</f>
        <v>171709</v>
      </c>
      <c r="Q14" s="64">
        <f>Segments!O8</f>
        <v>192631</v>
      </c>
      <c r="R14" s="64">
        <f>Segments!P8</f>
        <v>199416</v>
      </c>
      <c r="S14" s="81">
        <f>Segments!Q8</f>
        <v>215930</v>
      </c>
    </row>
    <row r="15" spans="1:25" x14ac:dyDescent="0.3">
      <c r="A15"/>
      <c r="B15" s="93" t="s">
        <v>4</v>
      </c>
      <c r="C15" s="74"/>
      <c r="D15" s="39"/>
      <c r="E15" s="57">
        <f>(E14/D14)-1</f>
        <v>5.6654434798174114E-2</v>
      </c>
      <c r="F15" s="57">
        <f t="shared" ref="F15:S15" si="1">(F14/E14)-1</f>
        <v>0.24182619007284423</v>
      </c>
      <c r="G15" s="57">
        <f t="shared" si="1"/>
        <v>0.23449969306322904</v>
      </c>
      <c r="H15" s="57">
        <f t="shared" si="1"/>
        <v>0.21306886199974207</v>
      </c>
      <c r="I15" s="57">
        <f t="shared" si="1"/>
        <v>0.13446998451401337</v>
      </c>
      <c r="J15" s="57">
        <f t="shared" si="1"/>
        <v>0.39732077138230526</v>
      </c>
      <c r="K15" s="57">
        <f t="shared" si="1"/>
        <v>0.22387273493468185</v>
      </c>
      <c r="L15" s="57">
        <f t="shared" si="1"/>
        <v>-7.6533606704907386E-2</v>
      </c>
      <c r="M15" s="57">
        <f t="shared" si="1"/>
        <v>0.11179845263416577</v>
      </c>
      <c r="N15" s="132">
        <f t="shared" si="1"/>
        <v>7.8079268292682968E-2</v>
      </c>
      <c r="O15" s="65">
        <f t="shared" si="1"/>
        <v>9.3577670314753503E-2</v>
      </c>
      <c r="P15" s="65">
        <f t="shared" si="1"/>
        <v>0.11009180243082484</v>
      </c>
      <c r="Q15" s="65">
        <f t="shared" si="1"/>
        <v>0.12184568077386748</v>
      </c>
      <c r="R15" s="65">
        <f t="shared" si="1"/>
        <v>3.5222783456452911E-2</v>
      </c>
      <c r="S15" s="82">
        <f t="shared" si="1"/>
        <v>8.2811810486620896E-2</v>
      </c>
    </row>
    <row r="16" spans="1:25" x14ac:dyDescent="0.3">
      <c r="A16"/>
      <c r="B16" s="92"/>
      <c r="C16" s="73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64"/>
      <c r="P16" s="64"/>
      <c r="Q16" s="64"/>
      <c r="R16" s="64"/>
      <c r="S16" s="81"/>
    </row>
    <row r="17" spans="1:24" x14ac:dyDescent="0.3">
      <c r="A17"/>
      <c r="B17" s="92" t="s">
        <v>53</v>
      </c>
      <c r="C17" s="73"/>
      <c r="D17" s="53" t="s">
        <v>16</v>
      </c>
      <c r="E17" s="39">
        <f>Segments!C9</f>
        <v>7880</v>
      </c>
      <c r="F17" s="39">
        <f>Segments!D9</f>
        <v>12219</v>
      </c>
      <c r="G17" s="39">
        <f>Segments!E9</f>
        <v>17459</v>
      </c>
      <c r="H17" s="39">
        <f>Segments!F9</f>
        <v>25655</v>
      </c>
      <c r="I17" s="39">
        <f>Segments!G9</f>
        <v>35026</v>
      </c>
      <c r="J17" s="39">
        <f>Segments!H9</f>
        <v>45370</v>
      </c>
      <c r="K17" s="39">
        <f>Segments!I9</f>
        <v>62202</v>
      </c>
      <c r="L17" s="39">
        <f>Segments!J9</f>
        <v>80096</v>
      </c>
      <c r="M17" s="39">
        <f>Segments!K9</f>
        <v>90757</v>
      </c>
      <c r="N17" s="39">
        <f>Segments!L9</f>
        <v>107555</v>
      </c>
      <c r="O17" s="64">
        <f>Segments!M9</f>
        <v>127628</v>
      </c>
      <c r="P17" s="64">
        <f>Segments!N9</f>
        <v>151647</v>
      </c>
      <c r="Q17" s="64">
        <f>Segments!O9</f>
        <v>176580</v>
      </c>
      <c r="R17" s="64">
        <f>Segments!P9</f>
        <v>208724</v>
      </c>
      <c r="S17" s="81">
        <f>Segments!Q9</f>
        <v>249139</v>
      </c>
    </row>
    <row r="18" spans="1:24" ht="14.4" customHeight="1" x14ac:dyDescent="0.3">
      <c r="A18"/>
      <c r="B18" s="93" t="s">
        <v>4</v>
      </c>
      <c r="C18" s="74"/>
      <c r="F18" s="57">
        <f>(F17/E17)-1</f>
        <v>0.55063451776649752</v>
      </c>
      <c r="G18" s="57">
        <f t="shared" ref="G18:S18" si="2">(G17/F17)-1</f>
        <v>0.42884033063262139</v>
      </c>
      <c r="H18" s="57">
        <f t="shared" si="2"/>
        <v>0.46944269431238905</v>
      </c>
      <c r="I18" s="57">
        <f t="shared" si="2"/>
        <v>0.36526992788930035</v>
      </c>
      <c r="J18" s="57">
        <f t="shared" si="2"/>
        <v>0.29532347399074976</v>
      </c>
      <c r="K18" s="57">
        <f t="shared" si="2"/>
        <v>0.37099404893101173</v>
      </c>
      <c r="L18" s="57">
        <f t="shared" si="2"/>
        <v>0.28767563743931057</v>
      </c>
      <c r="M18" s="57">
        <f t="shared" si="2"/>
        <v>0.13310277666799841</v>
      </c>
      <c r="N18" s="132">
        <f t="shared" si="2"/>
        <v>0.18508765164119567</v>
      </c>
      <c r="O18" s="65">
        <f t="shared" si="2"/>
        <v>0.18663009622983595</v>
      </c>
      <c r="P18" s="65">
        <f t="shared" si="2"/>
        <v>0.1881953803240668</v>
      </c>
      <c r="Q18" s="65">
        <f t="shared" si="2"/>
        <v>0.16441472630516918</v>
      </c>
      <c r="R18" s="65">
        <f t="shared" si="2"/>
        <v>0.1820364707214861</v>
      </c>
      <c r="S18" s="82">
        <f t="shared" si="2"/>
        <v>0.19362890707345581</v>
      </c>
    </row>
    <row r="19" spans="1:24" ht="14.4" customHeight="1" x14ac:dyDescent="0.3">
      <c r="A19"/>
      <c r="B19" s="91"/>
      <c r="C19" s="72"/>
      <c r="O19" s="63"/>
      <c r="P19" s="63"/>
      <c r="Q19" s="63"/>
      <c r="R19" s="63"/>
      <c r="S19" s="80"/>
    </row>
    <row r="20" spans="1:24" x14ac:dyDescent="0.3">
      <c r="A20"/>
      <c r="B20" s="94" t="s">
        <v>2</v>
      </c>
      <c r="C20" s="75"/>
      <c r="D20" s="47">
        <f>D11+D14</f>
        <v>88988</v>
      </c>
      <c r="E20" s="47">
        <f t="shared" ref="E20:S20" si="3">E11+E14+E17</f>
        <v>107006</v>
      </c>
      <c r="F20" s="47">
        <f t="shared" si="3"/>
        <v>135987</v>
      </c>
      <c r="G20" s="47">
        <f t="shared" si="3"/>
        <v>177866</v>
      </c>
      <c r="H20" s="47">
        <f t="shared" si="3"/>
        <v>232887</v>
      </c>
      <c r="I20" s="47">
        <f t="shared" si="3"/>
        <v>280522</v>
      </c>
      <c r="J20" s="47">
        <f t="shared" si="3"/>
        <v>386064</v>
      </c>
      <c r="K20" s="47">
        <f t="shared" si="3"/>
        <v>469822</v>
      </c>
      <c r="L20" s="47">
        <f t="shared" si="3"/>
        <v>513983</v>
      </c>
      <c r="M20" s="47">
        <f t="shared" si="3"/>
        <v>574785</v>
      </c>
      <c r="N20" s="47">
        <f t="shared" si="3"/>
        <v>635646</v>
      </c>
      <c r="O20" s="47">
        <f t="shared" si="3"/>
        <v>705769</v>
      </c>
      <c r="P20" s="47">
        <f t="shared" si="3"/>
        <v>784827</v>
      </c>
      <c r="Q20" s="47">
        <f t="shared" si="3"/>
        <v>866627</v>
      </c>
      <c r="R20" s="47">
        <f t="shared" si="3"/>
        <v>954446</v>
      </c>
      <c r="S20" s="102">
        <f t="shared" si="3"/>
        <v>1055916</v>
      </c>
    </row>
    <row r="21" spans="1:24" ht="14.4" customHeight="1" x14ac:dyDescent="0.3">
      <c r="A21"/>
      <c r="B21" s="95" t="s">
        <v>4</v>
      </c>
      <c r="C21" s="76"/>
      <c r="D21" s="58"/>
      <c r="E21" s="59">
        <f t="shared" ref="E21:S21" si="4">(E20/D20)-1</f>
        <v>0.20247673843664304</v>
      </c>
      <c r="F21" s="59">
        <f t="shared" si="4"/>
        <v>0.27083528026465808</v>
      </c>
      <c r="G21" s="59">
        <f t="shared" si="4"/>
        <v>0.30796326119408479</v>
      </c>
      <c r="H21" s="59">
        <f t="shared" si="4"/>
        <v>0.3093396152159491</v>
      </c>
      <c r="I21" s="59">
        <f t="shared" si="4"/>
        <v>0.20454125820676983</v>
      </c>
      <c r="J21" s="59">
        <f t="shared" si="4"/>
        <v>0.37623430604373276</v>
      </c>
      <c r="K21" s="59">
        <f t="shared" si="4"/>
        <v>0.21695366571345676</v>
      </c>
      <c r="L21" s="59">
        <f t="shared" si="4"/>
        <v>9.399517263985091E-2</v>
      </c>
      <c r="M21" s="59">
        <f t="shared" si="4"/>
        <v>0.1182957412988368</v>
      </c>
      <c r="N21" s="59">
        <f t="shared" si="4"/>
        <v>0.10588480910253395</v>
      </c>
      <c r="O21" s="59">
        <f t="shared" si="4"/>
        <v>0.11031769255214385</v>
      </c>
      <c r="P21" s="59">
        <f t="shared" si="4"/>
        <v>0.11201682136789803</v>
      </c>
      <c r="Q21" s="59">
        <f t="shared" si="4"/>
        <v>0.10422679138204982</v>
      </c>
      <c r="R21" s="59">
        <f t="shared" si="4"/>
        <v>0.10133425337544288</v>
      </c>
      <c r="S21" s="103">
        <f t="shared" si="4"/>
        <v>0.10631298156207891</v>
      </c>
    </row>
    <row r="22" spans="1:24" x14ac:dyDescent="0.3">
      <c r="A22"/>
      <c r="B22" s="91"/>
      <c r="C22" s="72"/>
      <c r="O22" s="63"/>
      <c r="P22" s="63"/>
      <c r="Q22" s="63"/>
      <c r="R22" s="63"/>
      <c r="S22" s="80"/>
    </row>
    <row r="23" spans="1:24" x14ac:dyDescent="0.3">
      <c r="A23"/>
      <c r="B23" s="91"/>
      <c r="C23" s="72"/>
      <c r="O23" s="63"/>
      <c r="P23" s="63"/>
      <c r="Q23" s="63"/>
      <c r="R23" s="63"/>
      <c r="S23" s="80"/>
    </row>
    <row r="24" spans="1:24" x14ac:dyDescent="0.3">
      <c r="A24"/>
      <c r="B24" s="91"/>
      <c r="C24" s="72"/>
      <c r="O24" s="63"/>
      <c r="P24" s="63"/>
      <c r="Q24" s="63"/>
      <c r="R24" s="63"/>
      <c r="S24" s="80"/>
    </row>
    <row r="25" spans="1:24" x14ac:dyDescent="0.3">
      <c r="A25"/>
      <c r="B25" s="96" t="s">
        <v>6</v>
      </c>
      <c r="C25" s="71"/>
      <c r="D25" s="54">
        <v>2014</v>
      </c>
      <c r="E25" s="54">
        <v>2015</v>
      </c>
      <c r="F25" s="54">
        <v>2016</v>
      </c>
      <c r="G25" s="54">
        <v>2017</v>
      </c>
      <c r="H25" s="54">
        <v>2018</v>
      </c>
      <c r="I25" s="54">
        <v>2019</v>
      </c>
      <c r="J25" s="54">
        <v>2020</v>
      </c>
      <c r="K25" s="54">
        <v>2021</v>
      </c>
      <c r="L25" s="54">
        <v>2022</v>
      </c>
      <c r="M25" s="54">
        <v>2023</v>
      </c>
      <c r="N25" s="55">
        <v>2024</v>
      </c>
      <c r="O25" s="55">
        <v>2025</v>
      </c>
      <c r="P25" s="55">
        <v>2026</v>
      </c>
      <c r="Q25" s="55">
        <v>2027</v>
      </c>
      <c r="R25" s="55">
        <v>2028</v>
      </c>
      <c r="S25" s="79">
        <v>2029</v>
      </c>
    </row>
    <row r="26" spans="1:24" x14ac:dyDescent="0.3">
      <c r="A26"/>
      <c r="B26" s="91"/>
      <c r="C26" s="72"/>
      <c r="O26" s="63"/>
      <c r="P26" s="63"/>
      <c r="Q26" s="63"/>
      <c r="R26" s="63"/>
      <c r="S26" s="80"/>
    </row>
    <row r="27" spans="1:24" x14ac:dyDescent="0.3">
      <c r="B27" s="92" t="s">
        <v>55</v>
      </c>
      <c r="C27" s="73"/>
      <c r="D27" s="39">
        <f>Segments!B12</f>
        <v>2105</v>
      </c>
      <c r="E27" s="39">
        <f>Segments!C12</f>
        <v>2751</v>
      </c>
      <c r="F27" s="39">
        <f>Segments!D12</f>
        <v>4099</v>
      </c>
      <c r="G27" s="39">
        <f>Segments!E12</f>
        <v>2837</v>
      </c>
      <c r="H27" s="39">
        <f>Segments!F12</f>
        <v>7267</v>
      </c>
      <c r="I27" s="39">
        <f>Segments!G12</f>
        <v>7033</v>
      </c>
      <c r="J27" s="39">
        <f>Segments!H12</f>
        <v>8651</v>
      </c>
      <c r="K27" s="39">
        <f>Segments!I12</f>
        <v>7271</v>
      </c>
      <c r="L27" s="39">
        <f>Segments!J12</f>
        <v>-2847</v>
      </c>
      <c r="M27" s="39">
        <f>Segments!K12</f>
        <v>14877</v>
      </c>
      <c r="N27" s="39">
        <f>Segments!L12</f>
        <v>23233.5</v>
      </c>
      <c r="O27" s="64">
        <f>Segments!M12</f>
        <v>31059.3</v>
      </c>
      <c r="P27" s="64">
        <f>Segments!N12</f>
        <v>34190</v>
      </c>
      <c r="Q27" s="64">
        <f>P27*(1+Q12)</f>
        <v>36853.134953225665</v>
      </c>
      <c r="R27" s="64">
        <f t="shared" ref="R27:S27" si="5">Q27*(1+R12)</f>
        <v>40475.354117593524</v>
      </c>
      <c r="S27" s="81">
        <f t="shared" si="5"/>
        <v>43775.359513382209</v>
      </c>
      <c r="T27" s="49"/>
      <c r="U27" s="49"/>
      <c r="V27" s="50"/>
      <c r="W27" s="50"/>
      <c r="X27" s="50"/>
    </row>
    <row r="28" spans="1:24" x14ac:dyDescent="0.3">
      <c r="B28" s="93" t="s">
        <v>4</v>
      </c>
      <c r="C28" s="74"/>
      <c r="D28" s="39"/>
      <c r="E28" s="57">
        <f>(E27/D27)-1</f>
        <v>0.30688836104513073</v>
      </c>
      <c r="F28" s="57">
        <f t="shared" ref="F28:S28" si="6">(F27/E27)-1</f>
        <v>0.49000363504180289</v>
      </c>
      <c r="G28" s="57">
        <f t="shared" si="6"/>
        <v>-0.30787997072456696</v>
      </c>
      <c r="H28" s="57">
        <f t="shared" si="6"/>
        <v>1.5615086358829751</v>
      </c>
      <c r="I28" s="57">
        <f t="shared" si="6"/>
        <v>-3.2200357781753119E-2</v>
      </c>
      <c r="J28" s="57">
        <f t="shared" si="6"/>
        <v>0.2300582966017346</v>
      </c>
      <c r="K28" s="57">
        <f t="shared" si="6"/>
        <v>-0.15951913073633106</v>
      </c>
      <c r="L28" s="57">
        <f t="shared" si="6"/>
        <v>-1.3915554944299271</v>
      </c>
      <c r="M28" s="57">
        <f>(M27/L27)</f>
        <v>-5.2255005268703902</v>
      </c>
      <c r="N28" s="132">
        <f t="shared" si="6"/>
        <v>0.5617059891107079</v>
      </c>
      <c r="O28" s="65">
        <f t="shared" si="6"/>
        <v>0.33683259087094064</v>
      </c>
      <c r="P28" s="65">
        <f t="shared" si="6"/>
        <v>0.10079750670491605</v>
      </c>
      <c r="Q28" s="65">
        <f t="shared" si="6"/>
        <v>7.7892218579282302E-2</v>
      </c>
      <c r="R28" s="65">
        <f t="shared" si="6"/>
        <v>9.8287952136642209E-2</v>
      </c>
      <c r="S28" s="82">
        <f t="shared" si="6"/>
        <v>8.1531229750359646E-2</v>
      </c>
      <c r="T28" s="51"/>
      <c r="U28" s="51"/>
      <c r="V28" s="51"/>
      <c r="W28" s="51"/>
      <c r="X28" s="51"/>
    </row>
    <row r="29" spans="1:24" x14ac:dyDescent="0.3">
      <c r="B29" s="92"/>
      <c r="C29" s="73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64"/>
      <c r="P29" s="64"/>
      <c r="Q29" s="64"/>
      <c r="R29" s="64"/>
      <c r="S29" s="81"/>
      <c r="T29" s="46"/>
      <c r="U29" s="46"/>
      <c r="V29" s="46"/>
      <c r="W29" s="46"/>
      <c r="X29" s="46"/>
    </row>
    <row r="30" spans="1:24" x14ac:dyDescent="0.3">
      <c r="B30" s="92" t="s">
        <v>54</v>
      </c>
      <c r="C30" s="73"/>
      <c r="D30" s="39">
        <f>Segments!B14</f>
        <v>-297</v>
      </c>
      <c r="E30" s="39">
        <f>Segments!C14</f>
        <v>-91</v>
      </c>
      <c r="F30" s="39">
        <f>Segments!D14</f>
        <v>-477</v>
      </c>
      <c r="G30" s="39">
        <f>Segments!E14</f>
        <v>-3062</v>
      </c>
      <c r="H30" s="39">
        <f>Segments!F14</f>
        <v>-2142</v>
      </c>
      <c r="I30" s="39">
        <f>Segments!G14</f>
        <v>-1693</v>
      </c>
      <c r="J30" s="39">
        <f>Segments!H14</f>
        <v>717</v>
      </c>
      <c r="K30" s="39">
        <f>Segments!I14</f>
        <v>-924</v>
      </c>
      <c r="L30" s="39">
        <f>Segments!J14</f>
        <v>-7746</v>
      </c>
      <c r="M30" s="39">
        <f>Segments!K14</f>
        <v>-2656</v>
      </c>
      <c r="N30" s="39">
        <f>Segments!L14</f>
        <v>1765.17</v>
      </c>
      <c r="O30" s="64">
        <f>Segments!M14</f>
        <v>3899.91</v>
      </c>
      <c r="P30" s="64">
        <f>Segments!N14</f>
        <v>9726</v>
      </c>
      <c r="Q30" s="64">
        <f>P30*(1+Q15)</f>
        <v>10911.071091206635</v>
      </c>
      <c r="R30" s="64">
        <f t="shared" ref="R30:S30" si="7">Q30*(1+R15)</f>
        <v>11295.38938553017</v>
      </c>
      <c r="S30" s="81">
        <f t="shared" si="7"/>
        <v>12230.781030697284</v>
      </c>
      <c r="T30" s="48"/>
      <c r="U30" s="48"/>
      <c r="V30" s="48"/>
      <c r="W30" s="48"/>
      <c r="X30" s="48"/>
    </row>
    <row r="31" spans="1:24" x14ac:dyDescent="0.3">
      <c r="B31" s="93" t="s">
        <v>4</v>
      </c>
      <c r="C31" s="74"/>
      <c r="D31" s="39"/>
      <c r="E31" s="57">
        <f>(E30/D30)-1</f>
        <v>-0.69360269360269355</v>
      </c>
      <c r="F31" s="57">
        <f t="shared" ref="F31:S31" si="8">(F30/E30)-1</f>
        <v>4.2417582417582418</v>
      </c>
      <c r="G31" s="57">
        <f t="shared" si="8"/>
        <v>5.4192872117400421</v>
      </c>
      <c r="H31" s="57">
        <f t="shared" si="8"/>
        <v>-0.30045721750489873</v>
      </c>
      <c r="I31" s="57">
        <f t="shared" si="8"/>
        <v>-0.20961718020541553</v>
      </c>
      <c r="J31" s="57">
        <f t="shared" si="8"/>
        <v>-1.4235085646780863</v>
      </c>
      <c r="K31" s="57">
        <f t="shared" si="8"/>
        <v>-2.2887029288702929</v>
      </c>
      <c r="L31" s="57">
        <f t="shared" si="8"/>
        <v>7.3831168831168839</v>
      </c>
      <c r="M31" s="57">
        <f t="shared" si="8"/>
        <v>-0.65711334882520012</v>
      </c>
      <c r="N31" s="132">
        <f t="shared" si="8"/>
        <v>-1.6645971385542169</v>
      </c>
      <c r="O31" s="65">
        <f t="shared" si="8"/>
        <v>1.2093679362327707</v>
      </c>
      <c r="P31" s="65">
        <f t="shared" si="8"/>
        <v>1.4939037054701263</v>
      </c>
      <c r="Q31" s="65">
        <f t="shared" si="8"/>
        <v>0.12184568077386748</v>
      </c>
      <c r="R31" s="65">
        <f t="shared" si="8"/>
        <v>3.5222783456452911E-2</v>
      </c>
      <c r="S31" s="82">
        <f t="shared" si="8"/>
        <v>8.2811810486620896E-2</v>
      </c>
      <c r="T31" s="49"/>
      <c r="U31" s="49"/>
      <c r="V31" s="50"/>
      <c r="W31" s="50"/>
      <c r="X31" s="50"/>
    </row>
    <row r="32" spans="1:24" x14ac:dyDescent="0.3">
      <c r="B32" s="92"/>
      <c r="C32" s="73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64"/>
      <c r="P32" s="64"/>
      <c r="Q32" s="64"/>
      <c r="R32" s="64"/>
      <c r="S32" s="81"/>
      <c r="T32" s="51"/>
      <c r="U32" s="51"/>
      <c r="V32" s="51"/>
      <c r="W32" s="51"/>
      <c r="X32" s="51"/>
    </row>
    <row r="33" spans="2:19" x14ac:dyDescent="0.3">
      <c r="B33" s="92" t="s">
        <v>53</v>
      </c>
      <c r="C33" s="73"/>
      <c r="D33" s="53" t="str">
        <f>Segments!B15</f>
        <v>-</v>
      </c>
      <c r="E33" s="53">
        <f>Segments!C15</f>
        <v>1863</v>
      </c>
      <c r="F33" s="53">
        <f>Segments!D15</f>
        <v>3706</v>
      </c>
      <c r="G33" s="53">
        <f>Segments!E15</f>
        <v>4331</v>
      </c>
      <c r="H33" s="53">
        <f>Segments!F15</f>
        <v>7296</v>
      </c>
      <c r="I33" s="53">
        <f>Segments!G15</f>
        <v>9201</v>
      </c>
      <c r="J33" s="53">
        <f>Segments!H15</f>
        <v>13531</v>
      </c>
      <c r="K33" s="53">
        <f>Segments!I15</f>
        <v>18532</v>
      </c>
      <c r="L33" s="53">
        <f>Segments!J15</f>
        <v>22841</v>
      </c>
      <c r="M33" s="53">
        <f>Segments!K15</f>
        <v>24631</v>
      </c>
      <c r="N33" s="53">
        <f>Segments!L15</f>
        <v>37271.5</v>
      </c>
      <c r="O33" s="66">
        <f>Segments!M15</f>
        <v>42816.2</v>
      </c>
      <c r="P33" s="66">
        <f>Segments!N15</f>
        <v>53907.1</v>
      </c>
      <c r="Q33" s="66">
        <f>Segments!O15</f>
        <v>70418.5</v>
      </c>
      <c r="R33" s="66">
        <f>Segments!P15</f>
        <v>85067.5</v>
      </c>
      <c r="S33" s="83">
        <f>Segments!Q15</f>
        <v>102298</v>
      </c>
    </row>
    <row r="34" spans="2:19" x14ac:dyDescent="0.3">
      <c r="B34" s="93" t="s">
        <v>4</v>
      </c>
      <c r="C34" s="74"/>
      <c r="F34" s="57">
        <f>(F33/E33)-1</f>
        <v>0.98926462694578632</v>
      </c>
      <c r="G34" s="57">
        <f t="shared" ref="G34:S34" si="9">(G33/F33)-1</f>
        <v>0.16864543982730718</v>
      </c>
      <c r="H34" s="57">
        <f t="shared" si="9"/>
        <v>0.68459939967674899</v>
      </c>
      <c r="I34" s="57">
        <f t="shared" si="9"/>
        <v>0.26110197368421062</v>
      </c>
      <c r="J34" s="57">
        <f t="shared" si="9"/>
        <v>0.47060102162808382</v>
      </c>
      <c r="K34" s="57">
        <f t="shared" si="9"/>
        <v>0.36959574310841781</v>
      </c>
      <c r="L34" s="57">
        <f t="shared" si="9"/>
        <v>0.23251672782214539</v>
      </c>
      <c r="M34" s="57">
        <f t="shared" si="9"/>
        <v>7.8367847292150072E-2</v>
      </c>
      <c r="N34" s="132">
        <f t="shared" si="9"/>
        <v>0.5131947545775648</v>
      </c>
      <c r="O34" s="65">
        <f t="shared" si="9"/>
        <v>0.14876514226687942</v>
      </c>
      <c r="P34" s="65">
        <f t="shared" si="9"/>
        <v>0.25903513156235269</v>
      </c>
      <c r="Q34" s="65">
        <f t="shared" si="9"/>
        <v>0.30629360510953108</v>
      </c>
      <c r="R34" s="65">
        <f t="shared" si="9"/>
        <v>0.20802771998835534</v>
      </c>
      <c r="S34" s="82">
        <f t="shared" si="9"/>
        <v>0.20255091544949599</v>
      </c>
    </row>
    <row r="35" spans="2:19" x14ac:dyDescent="0.3">
      <c r="B35" s="91"/>
      <c r="C35" s="72"/>
      <c r="O35" s="63"/>
      <c r="P35" s="63"/>
      <c r="Q35" s="63"/>
      <c r="R35" s="63"/>
      <c r="S35" s="80"/>
    </row>
    <row r="36" spans="2:19" x14ac:dyDescent="0.3">
      <c r="B36" s="94" t="s">
        <v>2</v>
      </c>
      <c r="C36" s="75"/>
      <c r="D36" s="47">
        <f>D27+D30</f>
        <v>1808</v>
      </c>
      <c r="E36" s="47">
        <f>E27+E30+E33</f>
        <v>4523</v>
      </c>
      <c r="F36" s="47">
        <f t="shared" ref="F36:S36" si="10">F27+F30+F33</f>
        <v>7328</v>
      </c>
      <c r="G36" s="47">
        <f t="shared" si="10"/>
        <v>4106</v>
      </c>
      <c r="H36" s="47">
        <f t="shared" si="10"/>
        <v>12421</v>
      </c>
      <c r="I36" s="47">
        <f t="shared" si="10"/>
        <v>14541</v>
      </c>
      <c r="J36" s="47">
        <f t="shared" si="10"/>
        <v>22899</v>
      </c>
      <c r="K36" s="47">
        <f t="shared" si="10"/>
        <v>24879</v>
      </c>
      <c r="L36" s="47">
        <f t="shared" si="10"/>
        <v>12248</v>
      </c>
      <c r="M36" s="47">
        <f t="shared" si="10"/>
        <v>36852</v>
      </c>
      <c r="N36" s="47">
        <f t="shared" si="10"/>
        <v>62270.17</v>
      </c>
      <c r="O36" s="47">
        <f t="shared" si="10"/>
        <v>77775.41</v>
      </c>
      <c r="P36" s="47">
        <f t="shared" si="10"/>
        <v>97823.1</v>
      </c>
      <c r="Q36" s="47">
        <f t="shared" si="10"/>
        <v>118182.7060444323</v>
      </c>
      <c r="R36" s="47">
        <f t="shared" si="10"/>
        <v>136838.2435031237</v>
      </c>
      <c r="S36" s="102">
        <f t="shared" si="10"/>
        <v>158304.14054407948</v>
      </c>
    </row>
    <row r="37" spans="2:19" x14ac:dyDescent="0.3">
      <c r="B37" s="95" t="s">
        <v>5</v>
      </c>
      <c r="C37" s="76"/>
      <c r="D37" s="59">
        <f>D36/D20</f>
        <v>2.0317346159032679E-2</v>
      </c>
      <c r="E37" s="59">
        <f>E36/E20</f>
        <v>4.2268657832271087E-2</v>
      </c>
      <c r="F37" s="59">
        <f t="shared" ref="F37:S37" si="11">F36/F20</f>
        <v>5.3887503952583703E-2</v>
      </c>
      <c r="G37" s="59">
        <f t="shared" si="11"/>
        <v>2.3084794170892695E-2</v>
      </c>
      <c r="H37" s="59">
        <f t="shared" si="11"/>
        <v>5.3334879147397665E-2</v>
      </c>
      <c r="I37" s="59">
        <f t="shared" si="11"/>
        <v>5.1835506662579051E-2</v>
      </c>
      <c r="J37" s="59">
        <f t="shared" si="11"/>
        <v>5.9313999751336569E-2</v>
      </c>
      <c r="K37" s="59">
        <f t="shared" si="11"/>
        <v>5.2954097509269465E-2</v>
      </c>
      <c r="L37" s="59">
        <f t="shared" si="11"/>
        <v>2.3829581912242232E-2</v>
      </c>
      <c r="M37" s="59">
        <f t="shared" si="11"/>
        <v>6.4114407996033296E-2</v>
      </c>
      <c r="N37" s="59">
        <f t="shared" si="11"/>
        <v>9.7963599236052773E-2</v>
      </c>
      <c r="O37" s="59">
        <f t="shared" si="11"/>
        <v>0.1101995270407173</v>
      </c>
      <c r="P37" s="59">
        <f t="shared" si="11"/>
        <v>0.12464288308123957</v>
      </c>
      <c r="Q37" s="59">
        <f t="shared" si="11"/>
        <v>0.1363709024118015</v>
      </c>
      <c r="R37" s="59">
        <f t="shared" si="11"/>
        <v>0.14336928805099891</v>
      </c>
      <c r="S37" s="103">
        <f t="shared" si="11"/>
        <v>0.14992114954606189</v>
      </c>
    </row>
    <row r="38" spans="2:19" ht="14.4" customHeight="1" x14ac:dyDescent="0.3">
      <c r="B38" s="91"/>
      <c r="C38" s="72"/>
      <c r="O38" s="63"/>
      <c r="P38" s="63"/>
      <c r="Q38" s="63"/>
      <c r="R38" s="63"/>
      <c r="S38" s="80"/>
    </row>
    <row r="39" spans="2:19" x14ac:dyDescent="0.3">
      <c r="B39" s="91"/>
      <c r="C39" s="72"/>
      <c r="O39" s="63"/>
      <c r="P39" s="63"/>
      <c r="Q39" s="63"/>
      <c r="R39" s="63"/>
      <c r="S39" s="80"/>
    </row>
    <row r="40" spans="2:19" x14ac:dyDescent="0.3">
      <c r="B40" s="96" t="s">
        <v>159</v>
      </c>
      <c r="C40" s="71"/>
      <c r="D40" s="54">
        <v>2014</v>
      </c>
      <c r="E40" s="54">
        <v>2015</v>
      </c>
      <c r="F40" s="54">
        <v>2016</v>
      </c>
      <c r="G40" s="54">
        <v>2017</v>
      </c>
      <c r="H40" s="54">
        <v>2018</v>
      </c>
      <c r="I40" s="54">
        <v>2019</v>
      </c>
      <c r="J40" s="54">
        <v>2020</v>
      </c>
      <c r="K40" s="54">
        <v>2021</v>
      </c>
      <c r="L40" s="54">
        <v>2022</v>
      </c>
      <c r="M40" s="54">
        <v>2023</v>
      </c>
      <c r="N40" s="55">
        <v>2024</v>
      </c>
      <c r="O40" s="55">
        <v>2025</v>
      </c>
      <c r="P40" s="55">
        <v>2026</v>
      </c>
      <c r="Q40" s="55">
        <v>2027</v>
      </c>
      <c r="R40" s="55">
        <v>2028</v>
      </c>
      <c r="S40" s="79">
        <v>2029</v>
      </c>
    </row>
    <row r="41" spans="2:19" x14ac:dyDescent="0.3">
      <c r="B41" s="91"/>
      <c r="C41" s="72"/>
      <c r="O41" s="63"/>
      <c r="P41" s="63"/>
      <c r="Q41" s="63"/>
      <c r="R41" s="63"/>
      <c r="S41" s="80"/>
    </row>
    <row r="42" spans="2:19" x14ac:dyDescent="0.3">
      <c r="B42" s="91" t="s">
        <v>161</v>
      </c>
      <c r="C42" s="72"/>
      <c r="D42" s="39">
        <f>IS!B31</f>
        <v>167</v>
      </c>
      <c r="E42" s="39">
        <f>IS!C31</f>
        <v>950</v>
      </c>
      <c r="F42" s="39">
        <f>IS!D31</f>
        <v>1425</v>
      </c>
      <c r="G42" s="39">
        <f>IS!E31</f>
        <v>769</v>
      </c>
      <c r="H42" s="39">
        <f>IS!F31</f>
        <v>1197</v>
      </c>
      <c r="I42" s="39">
        <f>IS!G31</f>
        <v>2374</v>
      </c>
      <c r="J42" s="39">
        <f>IS!H31</f>
        <v>2863</v>
      </c>
      <c r="K42" s="39">
        <f>IS!I31</f>
        <v>4791</v>
      </c>
      <c r="L42" s="39">
        <f>IS!J31</f>
        <v>-3217</v>
      </c>
      <c r="M42" s="39">
        <f>IS!K31</f>
        <v>7120</v>
      </c>
      <c r="N42" s="39">
        <f>IS!L31</f>
        <v>9602</v>
      </c>
      <c r="O42" s="64">
        <f>O43*O36</f>
        <v>11374.911976516578</v>
      </c>
      <c r="P42" s="64">
        <f t="shared" ref="P42:S42" si="12">P43*P36</f>
        <v>14306.953210146739</v>
      </c>
      <c r="Q42" s="64">
        <f t="shared" si="12"/>
        <v>17284.613201035532</v>
      </c>
      <c r="R42" s="64">
        <f t="shared" si="12"/>
        <v>20013.04750266406</v>
      </c>
      <c r="S42" s="81">
        <f t="shared" si="12"/>
        <v>23152.506225386827</v>
      </c>
    </row>
    <row r="43" spans="2:19" x14ac:dyDescent="0.3">
      <c r="B43" s="97" t="s">
        <v>162</v>
      </c>
      <c r="C43" s="77"/>
      <c r="D43" s="60">
        <f>D42/D36</f>
        <v>9.2367256637168146E-2</v>
      </c>
      <c r="E43" s="60">
        <f t="shared" ref="E43:N43" si="13">E42/E36</f>
        <v>0.21003758567322572</v>
      </c>
      <c r="F43" s="60">
        <f t="shared" si="13"/>
        <v>0.19445960698689957</v>
      </c>
      <c r="G43" s="60">
        <f t="shared" si="13"/>
        <v>0.18728689722357525</v>
      </c>
      <c r="H43" s="60">
        <f t="shared" si="13"/>
        <v>9.6369052411239026E-2</v>
      </c>
      <c r="I43" s="60">
        <f t="shared" si="13"/>
        <v>0.16326249914036173</v>
      </c>
      <c r="J43" s="60">
        <f t="shared" si="13"/>
        <v>0.12502729376828683</v>
      </c>
      <c r="K43" s="60">
        <f t="shared" si="13"/>
        <v>0.1925720487157844</v>
      </c>
      <c r="L43" s="60">
        <v>0</v>
      </c>
      <c r="M43" s="60">
        <f t="shared" si="13"/>
        <v>0.19320525344621731</v>
      </c>
      <c r="N43" s="60">
        <f t="shared" si="13"/>
        <v>0.15419903302014432</v>
      </c>
      <c r="O43" s="67">
        <f>AVERAGE($D$43:$N$43)</f>
        <v>0.14625332063844571</v>
      </c>
      <c r="P43" s="67">
        <f t="shared" ref="P43:S43" si="14">AVERAGE($D$43:$N$43)</f>
        <v>0.14625332063844571</v>
      </c>
      <c r="Q43" s="67">
        <f t="shared" si="14"/>
        <v>0.14625332063844571</v>
      </c>
      <c r="R43" s="67">
        <f t="shared" si="14"/>
        <v>0.14625332063844571</v>
      </c>
      <c r="S43" s="84">
        <f t="shared" si="14"/>
        <v>0.14625332063844571</v>
      </c>
    </row>
    <row r="44" spans="2:19" x14ac:dyDescent="0.3">
      <c r="B44" s="91"/>
      <c r="C44" s="72"/>
      <c r="O44" s="63"/>
      <c r="P44" s="63"/>
      <c r="Q44" s="63"/>
      <c r="R44" s="63"/>
      <c r="S44" s="80"/>
    </row>
    <row r="45" spans="2:19" x14ac:dyDescent="0.3">
      <c r="B45" s="91"/>
      <c r="C45" s="72"/>
      <c r="O45" s="63"/>
      <c r="P45" s="63"/>
      <c r="Q45" s="63"/>
      <c r="R45" s="63"/>
      <c r="S45" s="80"/>
    </row>
    <row r="46" spans="2:19" x14ac:dyDescent="0.3">
      <c r="B46" s="96" t="s">
        <v>163</v>
      </c>
      <c r="C46" s="71"/>
      <c r="D46" s="54">
        <v>2014</v>
      </c>
      <c r="E46" s="54">
        <v>2015</v>
      </c>
      <c r="F46" s="54">
        <v>2016</v>
      </c>
      <c r="G46" s="54">
        <v>2017</v>
      </c>
      <c r="H46" s="54">
        <v>2018</v>
      </c>
      <c r="I46" s="54">
        <v>2019</v>
      </c>
      <c r="J46" s="54">
        <v>2020</v>
      </c>
      <c r="K46" s="54">
        <v>2021</v>
      </c>
      <c r="L46" s="54">
        <v>2022</v>
      </c>
      <c r="M46" s="54">
        <v>2023</v>
      </c>
      <c r="N46" s="55">
        <v>2024</v>
      </c>
      <c r="O46" s="55">
        <v>2025</v>
      </c>
      <c r="P46" s="55">
        <v>2026</v>
      </c>
      <c r="Q46" s="55">
        <v>2027</v>
      </c>
      <c r="R46" s="55">
        <v>2028</v>
      </c>
      <c r="S46" s="79">
        <v>2029</v>
      </c>
    </row>
    <row r="47" spans="2:19" x14ac:dyDescent="0.3">
      <c r="B47" s="91"/>
      <c r="C47" s="72"/>
      <c r="O47" s="63"/>
      <c r="P47" s="63"/>
      <c r="Q47" s="63"/>
      <c r="R47" s="63"/>
      <c r="S47" s="80"/>
    </row>
    <row r="48" spans="2:19" x14ac:dyDescent="0.3">
      <c r="B48" s="91" t="s">
        <v>164</v>
      </c>
      <c r="C48" s="72"/>
      <c r="D48" s="39">
        <f>-CFS!B27</f>
        <v>4893</v>
      </c>
      <c r="E48" s="39">
        <f>-CFS!C27</f>
        <v>4589</v>
      </c>
      <c r="F48" s="39">
        <f>-CFS!D27</f>
        <v>6737</v>
      </c>
      <c r="G48" s="39">
        <f>-CFS!E27</f>
        <v>11955</v>
      </c>
      <c r="H48" s="39">
        <f>-CFS!F27</f>
        <v>13427</v>
      </c>
      <c r="I48" s="39">
        <f>-CFS!G27</f>
        <v>16861</v>
      </c>
      <c r="J48" s="39">
        <f>-CFS!H27</f>
        <v>40140</v>
      </c>
      <c r="K48" s="39">
        <f>-CFS!I27</f>
        <v>61053</v>
      </c>
      <c r="L48" s="39">
        <f>-CFS!J27</f>
        <v>63645</v>
      </c>
      <c r="M48" s="39">
        <f>-CFS!K27</f>
        <v>52729</v>
      </c>
      <c r="N48" s="39">
        <f>N20*N49</f>
        <v>49699.34009783862</v>
      </c>
      <c r="O48" s="64">
        <f t="shared" ref="O48:S48" si="15">O20*O49</f>
        <v>55182.056618796414</v>
      </c>
      <c r="P48" s="64">
        <f t="shared" si="15"/>
        <v>61363.375197777365</v>
      </c>
      <c r="Q48" s="64">
        <f t="shared" si="15"/>
        <v>67759.082903014554</v>
      </c>
      <c r="R48" s="64">
        <f t="shared" si="15"/>
        <v>74625.398978396275</v>
      </c>
      <c r="S48" s="81">
        <f t="shared" si="15"/>
        <v>82559.047644049308</v>
      </c>
    </row>
    <row r="49" spans="2:19" x14ac:dyDescent="0.3">
      <c r="B49" s="93" t="s">
        <v>5</v>
      </c>
      <c r="C49" s="74"/>
      <c r="D49" s="61">
        <f>D48/D20</f>
        <v>5.4984941789904256E-2</v>
      </c>
      <c r="E49" s="61">
        <f t="shared" ref="E49:M49" si="16">E48/E20</f>
        <v>4.2885445675943407E-2</v>
      </c>
      <c r="F49" s="61">
        <f t="shared" si="16"/>
        <v>4.9541500290468943E-2</v>
      </c>
      <c r="G49" s="61">
        <f t="shared" si="16"/>
        <v>6.7213520290555814E-2</v>
      </c>
      <c r="H49" s="61">
        <f t="shared" si="16"/>
        <v>5.7654570671613274E-2</v>
      </c>
      <c r="I49" s="61">
        <f t="shared" si="16"/>
        <v>6.0105802753438235E-2</v>
      </c>
      <c r="J49" s="61">
        <f t="shared" si="16"/>
        <v>0.10397239835882134</v>
      </c>
      <c r="K49" s="61">
        <f t="shared" si="16"/>
        <v>0.12994921480901278</v>
      </c>
      <c r="L49" s="61">
        <f t="shared" si="16"/>
        <v>0.12382705264571008</v>
      </c>
      <c r="M49" s="61">
        <f t="shared" si="16"/>
        <v>9.1736910322990334E-2</v>
      </c>
      <c r="N49" s="133">
        <f>AVERAGE($D$49:$M$49)</f>
        <v>7.8187135760845849E-2</v>
      </c>
      <c r="O49" s="68">
        <f t="shared" ref="O49:S49" si="17">AVERAGE($D$49:$M$49)</f>
        <v>7.8187135760845849E-2</v>
      </c>
      <c r="P49" s="68">
        <f t="shared" si="17"/>
        <v>7.8187135760845849E-2</v>
      </c>
      <c r="Q49" s="68">
        <f t="shared" si="17"/>
        <v>7.8187135760845849E-2</v>
      </c>
      <c r="R49" s="68">
        <f t="shared" si="17"/>
        <v>7.8187135760845849E-2</v>
      </c>
      <c r="S49" s="85">
        <f t="shared" si="17"/>
        <v>7.8187135760845849E-2</v>
      </c>
    </row>
    <row r="50" spans="2:19" x14ac:dyDescent="0.3">
      <c r="B50" s="91"/>
      <c r="C50" s="72"/>
      <c r="O50" s="63"/>
      <c r="P50" s="63"/>
      <c r="Q50" s="63"/>
      <c r="R50" s="63"/>
      <c r="S50" s="80"/>
    </row>
    <row r="51" spans="2:19" x14ac:dyDescent="0.3">
      <c r="B51" s="91" t="s">
        <v>165</v>
      </c>
      <c r="C51" s="72"/>
      <c r="D51" s="39">
        <f>CFS!B12</f>
        <v>4187</v>
      </c>
      <c r="E51" s="39">
        <f>CFS!C12</f>
        <v>5646</v>
      </c>
      <c r="F51" s="39">
        <f>CFS!D12</f>
        <v>7482</v>
      </c>
      <c r="G51" s="39">
        <f>CFS!E12</f>
        <v>10933</v>
      </c>
      <c r="H51" s="39">
        <f>CFS!F12</f>
        <v>15341</v>
      </c>
      <c r="I51" s="39">
        <f>CFS!G12</f>
        <v>21789</v>
      </c>
      <c r="J51" s="39">
        <f>CFS!H12</f>
        <v>25251</v>
      </c>
      <c r="K51" s="39">
        <f>CFS!I12</f>
        <v>34296</v>
      </c>
      <c r="L51" s="39">
        <f>CFS!J12</f>
        <v>41921</v>
      </c>
      <c r="M51" s="39">
        <f>CFS!K12</f>
        <v>48663</v>
      </c>
      <c r="N51" s="39">
        <f>N53*N48</f>
        <v>46311.510270331179</v>
      </c>
      <c r="O51" s="64">
        <f t="shared" ref="O51:S51" si="18">O53*O48</f>
        <v>51420.489221959026</v>
      </c>
      <c r="P51" s="64">
        <f t="shared" si="18"/>
        <v>57180.448977785134</v>
      </c>
      <c r="Q51" s="64">
        <f t="shared" si="18"/>
        <v>63140.183704524687</v>
      </c>
      <c r="R51" s="64">
        <f t="shared" si="18"/>
        <v>69538.447078211015</v>
      </c>
      <c r="S51" s="81">
        <f t="shared" si="18"/>
        <v>76931.286720292468</v>
      </c>
    </row>
    <row r="52" spans="2:19" x14ac:dyDescent="0.3">
      <c r="B52" s="93" t="s">
        <v>5</v>
      </c>
      <c r="C52" s="74"/>
      <c r="D52" s="61">
        <f t="shared" ref="D52:M52" si="19">D51/D20</f>
        <v>4.7051287814087295E-2</v>
      </c>
      <c r="E52" s="61">
        <f t="shared" si="19"/>
        <v>5.2763396445059153E-2</v>
      </c>
      <c r="F52" s="61">
        <f t="shared" si="19"/>
        <v>5.5019965143726972E-2</v>
      </c>
      <c r="G52" s="61">
        <f t="shared" si="19"/>
        <v>6.1467621692734981E-2</v>
      </c>
      <c r="H52" s="61">
        <f t="shared" si="19"/>
        <v>6.5873148780309768E-2</v>
      </c>
      <c r="I52" s="61">
        <f t="shared" si="19"/>
        <v>7.7673052380918428E-2</v>
      </c>
      <c r="J52" s="61">
        <f t="shared" si="19"/>
        <v>6.5406253885366153E-2</v>
      </c>
      <c r="K52" s="61">
        <f t="shared" si="19"/>
        <v>7.2997858763531723E-2</v>
      </c>
      <c r="L52" s="61">
        <f t="shared" si="19"/>
        <v>8.1561063303650122E-2</v>
      </c>
      <c r="M52" s="61">
        <f t="shared" si="19"/>
        <v>8.4662960933218512E-2</v>
      </c>
      <c r="N52" s="133">
        <f>AVERAGE($D$52:$M$52)</f>
        <v>6.6447660914260312E-2</v>
      </c>
      <c r="O52" s="68">
        <f t="shared" ref="O52:S52" si="20">AVERAGE($D$52:$M$52)</f>
        <v>6.6447660914260312E-2</v>
      </c>
      <c r="P52" s="68">
        <f t="shared" si="20"/>
        <v>6.6447660914260312E-2</v>
      </c>
      <c r="Q52" s="68">
        <f t="shared" si="20"/>
        <v>6.6447660914260312E-2</v>
      </c>
      <c r="R52" s="68">
        <f t="shared" si="20"/>
        <v>6.6447660914260312E-2</v>
      </c>
      <c r="S52" s="85">
        <f t="shared" si="20"/>
        <v>6.6447660914260312E-2</v>
      </c>
    </row>
    <row r="53" spans="2:19" x14ac:dyDescent="0.3">
      <c r="B53" s="93" t="s">
        <v>166</v>
      </c>
      <c r="C53" s="74"/>
      <c r="D53" s="61">
        <f>D51/D48</f>
        <v>0.8557122419783364</v>
      </c>
      <c r="E53" s="61">
        <f t="shared" ref="E53:M53" si="21">E51/E48</f>
        <v>1.2303334059707998</v>
      </c>
      <c r="F53" s="61">
        <f t="shared" si="21"/>
        <v>1.1105833457028351</v>
      </c>
      <c r="G53" s="61">
        <f t="shared" si="21"/>
        <v>0.91451275616896699</v>
      </c>
      <c r="H53" s="61">
        <f t="shared" si="21"/>
        <v>1.142548596112311</v>
      </c>
      <c r="I53" s="61">
        <f t="shared" si="21"/>
        <v>1.2922721072297016</v>
      </c>
      <c r="J53" s="61">
        <f t="shared" si="21"/>
        <v>0.62907324364723471</v>
      </c>
      <c r="K53" s="61">
        <f t="shared" si="21"/>
        <v>0.56174143776718588</v>
      </c>
      <c r="L53" s="61">
        <f t="shared" si="21"/>
        <v>0.65866918061120272</v>
      </c>
      <c r="M53" s="61">
        <f t="shared" si="21"/>
        <v>0.92288873295529972</v>
      </c>
      <c r="N53" s="133">
        <f>AVERAGE($D$53:$M$53)</f>
        <v>0.93183350481438743</v>
      </c>
      <c r="O53" s="68">
        <f t="shared" ref="O53:S53" si="22">AVERAGE($D$53:$M$53)</f>
        <v>0.93183350481438743</v>
      </c>
      <c r="P53" s="68">
        <f t="shared" si="22"/>
        <v>0.93183350481438743</v>
      </c>
      <c r="Q53" s="68">
        <f t="shared" si="22"/>
        <v>0.93183350481438743</v>
      </c>
      <c r="R53" s="68">
        <f t="shared" si="22"/>
        <v>0.93183350481438743</v>
      </c>
      <c r="S53" s="85">
        <f t="shared" si="22"/>
        <v>0.93183350481438743</v>
      </c>
    </row>
    <row r="54" spans="2:19" x14ac:dyDescent="0.3">
      <c r="B54" s="91"/>
      <c r="C54" s="72"/>
      <c r="O54" s="63"/>
      <c r="P54" s="63"/>
      <c r="Q54" s="63"/>
      <c r="R54" s="63"/>
      <c r="S54" s="80"/>
    </row>
    <row r="55" spans="2:19" ht="14.4" customHeight="1" x14ac:dyDescent="0.3">
      <c r="B55" s="91" t="s">
        <v>167</v>
      </c>
      <c r="C55" s="72"/>
      <c r="D55" s="39">
        <f>CFS!B19</f>
        <v>974</v>
      </c>
      <c r="E55" s="39">
        <f>CFS!C19</f>
        <v>2557</v>
      </c>
      <c r="F55" s="39">
        <f>CFS!D19</f>
        <v>3916</v>
      </c>
      <c r="G55" s="39">
        <f>CFS!E19</f>
        <v>-173</v>
      </c>
      <c r="H55" s="39">
        <f>CFS!F19</f>
        <v>-1043</v>
      </c>
      <c r="I55" s="39">
        <f>CFS!G19</f>
        <v>-2438</v>
      </c>
      <c r="J55" s="39">
        <f>CFS!H19</f>
        <v>13481</v>
      </c>
      <c r="K55" s="39">
        <f>CFS!I19</f>
        <v>-19611</v>
      </c>
      <c r="L55" s="39">
        <f>CFS!J19</f>
        <v>-20886</v>
      </c>
      <c r="M55" s="39">
        <f>CFS!K19</f>
        <v>-11541</v>
      </c>
      <c r="N55" s="39">
        <f>N56*N20</f>
        <v>-1146.7552135050205</v>
      </c>
      <c r="O55" s="64">
        <f t="shared" ref="O55:S55" si="23">O56*O20</f>
        <v>-1273.2626025810355</v>
      </c>
      <c r="P55" s="64">
        <f t="shared" si="23"/>
        <v>-1415.8894320887803</v>
      </c>
      <c r="Q55" s="64">
        <f t="shared" si="23"/>
        <v>-1563.4630445471464</v>
      </c>
      <c r="R55" s="64">
        <f t="shared" si="23"/>
        <v>-1721.8954048464284</v>
      </c>
      <c r="S55" s="81">
        <f t="shared" si="23"/>
        <v>-1904.9552392736953</v>
      </c>
    </row>
    <row r="56" spans="2:19" x14ac:dyDescent="0.3">
      <c r="B56" s="93" t="s">
        <v>5</v>
      </c>
      <c r="C56" s="74"/>
      <c r="D56" s="62">
        <f>D55/D20</f>
        <v>1.0945295994965614E-2</v>
      </c>
      <c r="E56" s="62">
        <f t="shared" ref="E56:M56" si="24">E55/E20</f>
        <v>2.3895856307122966E-2</v>
      </c>
      <c r="F56" s="62">
        <f t="shared" si="24"/>
        <v>2.8796870289071748E-2</v>
      </c>
      <c r="G56" s="62">
        <f t="shared" si="24"/>
        <v>-9.7264232624560065E-4</v>
      </c>
      <c r="H56" s="62">
        <f t="shared" si="24"/>
        <v>-4.4785668586052466E-3</v>
      </c>
      <c r="I56" s="62">
        <f t="shared" si="24"/>
        <v>-8.6909404609977117E-3</v>
      </c>
      <c r="J56" s="62">
        <f t="shared" si="24"/>
        <v>3.4919080774172155E-2</v>
      </c>
      <c r="K56" s="62">
        <f t="shared" si="24"/>
        <v>-4.1741340337404377E-2</v>
      </c>
      <c r="L56" s="62">
        <f t="shared" si="24"/>
        <v>-4.0635585223635799E-2</v>
      </c>
      <c r="M56" s="62">
        <f t="shared" si="24"/>
        <v>-2.0078812077559436E-2</v>
      </c>
      <c r="N56" s="134">
        <f>AVERAGE($D$56:$M$56)</f>
        <v>-1.8040783919115681E-3</v>
      </c>
      <c r="O56" s="69">
        <f t="shared" ref="O56:S56" si="25">AVERAGE($D$56:$M$56)</f>
        <v>-1.8040783919115681E-3</v>
      </c>
      <c r="P56" s="69">
        <f t="shared" si="25"/>
        <v>-1.8040783919115681E-3</v>
      </c>
      <c r="Q56" s="69">
        <f t="shared" si="25"/>
        <v>-1.8040783919115681E-3</v>
      </c>
      <c r="R56" s="69">
        <f t="shared" si="25"/>
        <v>-1.8040783919115681E-3</v>
      </c>
      <c r="S56" s="86">
        <f t="shared" si="25"/>
        <v>-1.8040783919115681E-3</v>
      </c>
    </row>
    <row r="57" spans="2:19" x14ac:dyDescent="0.3">
      <c r="B57" s="93" t="s">
        <v>168</v>
      </c>
      <c r="C57" s="74"/>
      <c r="D57" s="62" t="s">
        <v>16</v>
      </c>
      <c r="E57" s="62">
        <f>E55/(E20-D20)</f>
        <v>0.14191364191364192</v>
      </c>
      <c r="F57" s="62">
        <f t="shared" ref="F57:M57" si="26">F55/(F20-E20)</f>
        <v>0.1351230116283082</v>
      </c>
      <c r="G57" s="62">
        <f t="shared" si="26"/>
        <v>-4.1309486854986983E-3</v>
      </c>
      <c r="H57" s="62">
        <f t="shared" si="26"/>
        <v>-1.895639846604024E-2</v>
      </c>
      <c r="I57" s="62">
        <f t="shared" si="26"/>
        <v>-5.118085441377139E-2</v>
      </c>
      <c r="J57" s="62">
        <f t="shared" si="26"/>
        <v>0.12773114020958481</v>
      </c>
      <c r="K57" s="62">
        <f t="shared" si="26"/>
        <v>-0.23413882852981208</v>
      </c>
      <c r="L57" s="62">
        <f t="shared" si="26"/>
        <v>-0.47295124657503229</v>
      </c>
      <c r="M57" s="62">
        <f t="shared" si="26"/>
        <v>-0.18981283510410843</v>
      </c>
      <c r="N57" s="135">
        <f>AVERAGE($E$57:$M$57)</f>
        <v>-6.2933702002525349E-2</v>
      </c>
      <c r="O57" s="70">
        <f t="shared" ref="O57:S57" si="27">AVERAGE($E$57:$M$57)</f>
        <v>-6.2933702002525349E-2</v>
      </c>
      <c r="P57" s="70">
        <f t="shared" si="27"/>
        <v>-6.2933702002525349E-2</v>
      </c>
      <c r="Q57" s="70">
        <f t="shared" si="27"/>
        <v>-6.2933702002525349E-2</v>
      </c>
      <c r="R57" s="70">
        <f t="shared" si="27"/>
        <v>-6.2933702002525349E-2</v>
      </c>
      <c r="S57" s="87">
        <f t="shared" si="27"/>
        <v>-6.2933702002525349E-2</v>
      </c>
    </row>
    <row r="58" spans="2:19" x14ac:dyDescent="0.3">
      <c r="B58" s="91"/>
      <c r="C58" s="72"/>
      <c r="O58" s="63"/>
      <c r="P58" s="63"/>
      <c r="Q58" s="63"/>
      <c r="R58" s="63"/>
      <c r="S58" s="80"/>
    </row>
    <row r="59" spans="2:19" x14ac:dyDescent="0.3">
      <c r="B59" s="91"/>
      <c r="C59" s="72"/>
      <c r="O59" s="63"/>
      <c r="P59" s="63"/>
      <c r="Q59" s="63"/>
      <c r="R59" s="63"/>
      <c r="S59" s="80"/>
    </row>
    <row r="60" spans="2:19" ht="14.4" customHeight="1" x14ac:dyDescent="0.3">
      <c r="B60" s="96" t="s">
        <v>173</v>
      </c>
      <c r="C60" s="71"/>
      <c r="D60" s="54">
        <v>2014</v>
      </c>
      <c r="E60" s="54">
        <v>2015</v>
      </c>
      <c r="F60" s="54">
        <v>2016</v>
      </c>
      <c r="G60" s="54">
        <v>2017</v>
      </c>
      <c r="H60" s="54">
        <v>2018</v>
      </c>
      <c r="I60" s="54">
        <v>2019</v>
      </c>
      <c r="J60" s="54">
        <v>2020</v>
      </c>
      <c r="K60" s="54">
        <v>2021</v>
      </c>
      <c r="L60" s="54">
        <v>2022</v>
      </c>
      <c r="M60" s="54">
        <v>2023</v>
      </c>
      <c r="N60" s="55">
        <v>2024</v>
      </c>
      <c r="O60" s="55">
        <v>2025</v>
      </c>
      <c r="P60" s="55">
        <v>2026</v>
      </c>
      <c r="Q60" s="55">
        <v>2027</v>
      </c>
      <c r="R60" s="55">
        <v>2028</v>
      </c>
      <c r="S60" s="79">
        <v>2029</v>
      </c>
    </row>
    <row r="61" spans="2:19" x14ac:dyDescent="0.3">
      <c r="B61" s="91"/>
      <c r="C61" s="72"/>
      <c r="O61" s="63"/>
      <c r="P61" s="63"/>
      <c r="Q61" s="63"/>
      <c r="R61" s="63"/>
      <c r="S61" s="80"/>
    </row>
    <row r="62" spans="2:19" x14ac:dyDescent="0.3">
      <c r="B62" s="92" t="s">
        <v>169</v>
      </c>
      <c r="C62" s="72"/>
      <c r="D62" s="39">
        <f>D36*(1-D43)</f>
        <v>1641</v>
      </c>
      <c r="E62" s="39">
        <f t="shared" ref="E62:S62" si="28">E36*(1-E43)</f>
        <v>3573</v>
      </c>
      <c r="F62" s="39">
        <f t="shared" si="28"/>
        <v>5903</v>
      </c>
      <c r="G62" s="39">
        <f t="shared" si="28"/>
        <v>3337</v>
      </c>
      <c r="H62" s="39">
        <f t="shared" si="28"/>
        <v>11224</v>
      </c>
      <c r="I62" s="39">
        <f t="shared" si="28"/>
        <v>12167</v>
      </c>
      <c r="J62" s="39">
        <f t="shared" si="28"/>
        <v>20036</v>
      </c>
      <c r="K62" s="39">
        <f t="shared" si="28"/>
        <v>20088</v>
      </c>
      <c r="L62" s="39">
        <f t="shared" si="28"/>
        <v>12248</v>
      </c>
      <c r="M62" s="39">
        <f t="shared" si="28"/>
        <v>29732</v>
      </c>
      <c r="N62" s="39">
        <f t="shared" si="28"/>
        <v>52668.17</v>
      </c>
      <c r="O62" s="64">
        <f t="shared" si="28"/>
        <v>66400.498023483422</v>
      </c>
      <c r="P62" s="64">
        <f t="shared" si="28"/>
        <v>83516.146789853257</v>
      </c>
      <c r="Q62" s="64">
        <f t="shared" si="28"/>
        <v>100898.09284339676</v>
      </c>
      <c r="R62" s="64">
        <f t="shared" si="28"/>
        <v>116825.19600045963</v>
      </c>
      <c r="S62" s="81">
        <f t="shared" si="28"/>
        <v>135151.63431869264</v>
      </c>
    </row>
    <row r="63" spans="2:19" ht="4.95" customHeight="1" x14ac:dyDescent="0.3">
      <c r="B63" s="92"/>
      <c r="C63" s="72"/>
      <c r="O63" s="63"/>
      <c r="P63" s="63"/>
      <c r="Q63" s="63"/>
      <c r="R63" s="63"/>
      <c r="S63" s="80"/>
    </row>
    <row r="64" spans="2:19" x14ac:dyDescent="0.3">
      <c r="B64" s="92" t="s">
        <v>165</v>
      </c>
      <c r="C64" s="78" t="s">
        <v>170</v>
      </c>
      <c r="D64" s="39">
        <f>D51</f>
        <v>4187</v>
      </c>
      <c r="E64" s="39">
        <f t="shared" ref="E64:S64" si="29">E51</f>
        <v>5646</v>
      </c>
      <c r="F64" s="39">
        <f t="shared" si="29"/>
        <v>7482</v>
      </c>
      <c r="G64" s="39">
        <f t="shared" si="29"/>
        <v>10933</v>
      </c>
      <c r="H64" s="39">
        <f t="shared" si="29"/>
        <v>15341</v>
      </c>
      <c r="I64" s="39">
        <f t="shared" si="29"/>
        <v>21789</v>
      </c>
      <c r="J64" s="39">
        <f t="shared" si="29"/>
        <v>25251</v>
      </c>
      <c r="K64" s="39">
        <f t="shared" si="29"/>
        <v>34296</v>
      </c>
      <c r="L64" s="39">
        <f t="shared" si="29"/>
        <v>41921</v>
      </c>
      <c r="M64" s="39">
        <f t="shared" si="29"/>
        <v>48663</v>
      </c>
      <c r="N64" s="39">
        <f t="shared" si="29"/>
        <v>46311.510270331179</v>
      </c>
      <c r="O64" s="64">
        <f t="shared" si="29"/>
        <v>51420.489221959026</v>
      </c>
      <c r="P64" s="64">
        <f t="shared" si="29"/>
        <v>57180.448977785134</v>
      </c>
      <c r="Q64" s="64">
        <f t="shared" si="29"/>
        <v>63140.183704524687</v>
      </c>
      <c r="R64" s="64">
        <f t="shared" si="29"/>
        <v>69538.447078211015</v>
      </c>
      <c r="S64" s="81">
        <f t="shared" si="29"/>
        <v>76931.286720292468</v>
      </c>
    </row>
    <row r="65" spans="2:19" ht="4.95" customHeight="1" x14ac:dyDescent="0.3">
      <c r="B65" s="92"/>
      <c r="C65" s="78"/>
      <c r="O65" s="63"/>
      <c r="P65" s="63"/>
      <c r="Q65" s="63"/>
      <c r="R65" s="63"/>
      <c r="S65" s="80"/>
    </row>
    <row r="66" spans="2:19" x14ac:dyDescent="0.3">
      <c r="B66" s="92" t="s">
        <v>164</v>
      </c>
      <c r="C66" s="78" t="s">
        <v>171</v>
      </c>
      <c r="D66" s="39">
        <f>D48</f>
        <v>4893</v>
      </c>
      <c r="E66" s="39">
        <f t="shared" ref="E66:S66" si="30">E48</f>
        <v>4589</v>
      </c>
      <c r="F66" s="39">
        <f t="shared" si="30"/>
        <v>6737</v>
      </c>
      <c r="G66" s="39">
        <f t="shared" si="30"/>
        <v>11955</v>
      </c>
      <c r="H66" s="39">
        <f t="shared" si="30"/>
        <v>13427</v>
      </c>
      <c r="I66" s="39">
        <f t="shared" si="30"/>
        <v>16861</v>
      </c>
      <c r="J66" s="39">
        <f t="shared" si="30"/>
        <v>40140</v>
      </c>
      <c r="K66" s="39">
        <f t="shared" si="30"/>
        <v>61053</v>
      </c>
      <c r="L66" s="39">
        <f t="shared" si="30"/>
        <v>63645</v>
      </c>
      <c r="M66" s="39">
        <f t="shared" si="30"/>
        <v>52729</v>
      </c>
      <c r="N66" s="39">
        <f t="shared" si="30"/>
        <v>49699.34009783862</v>
      </c>
      <c r="O66" s="64">
        <f t="shared" si="30"/>
        <v>55182.056618796414</v>
      </c>
      <c r="P66" s="64">
        <f t="shared" si="30"/>
        <v>61363.375197777365</v>
      </c>
      <c r="Q66" s="64">
        <f t="shared" si="30"/>
        <v>67759.082903014554</v>
      </c>
      <c r="R66" s="64">
        <f t="shared" si="30"/>
        <v>74625.398978396275</v>
      </c>
      <c r="S66" s="81">
        <f t="shared" si="30"/>
        <v>82559.047644049308</v>
      </c>
    </row>
    <row r="67" spans="2:19" ht="4.95" customHeight="1" x14ac:dyDescent="0.3">
      <c r="B67" s="92"/>
      <c r="C67" s="78"/>
      <c r="O67" s="63"/>
      <c r="P67" s="63"/>
      <c r="Q67" s="63"/>
      <c r="R67" s="63"/>
      <c r="S67" s="80"/>
    </row>
    <row r="68" spans="2:19" x14ac:dyDescent="0.3">
      <c r="B68" s="92" t="s">
        <v>167</v>
      </c>
      <c r="C68" s="78" t="s">
        <v>171</v>
      </c>
      <c r="D68" s="39">
        <f>D55</f>
        <v>974</v>
      </c>
      <c r="E68" s="39">
        <f t="shared" ref="E68:S68" si="31">E55</f>
        <v>2557</v>
      </c>
      <c r="F68" s="39">
        <f t="shared" si="31"/>
        <v>3916</v>
      </c>
      <c r="G68" s="39">
        <f t="shared" si="31"/>
        <v>-173</v>
      </c>
      <c r="H68" s="39">
        <f t="shared" si="31"/>
        <v>-1043</v>
      </c>
      <c r="I68" s="39">
        <f t="shared" si="31"/>
        <v>-2438</v>
      </c>
      <c r="J68" s="39">
        <f t="shared" si="31"/>
        <v>13481</v>
      </c>
      <c r="K68" s="39">
        <f t="shared" si="31"/>
        <v>-19611</v>
      </c>
      <c r="L68" s="39">
        <f t="shared" si="31"/>
        <v>-20886</v>
      </c>
      <c r="M68" s="39">
        <f t="shared" si="31"/>
        <v>-11541</v>
      </c>
      <c r="N68" s="39">
        <f t="shared" si="31"/>
        <v>-1146.7552135050205</v>
      </c>
      <c r="O68" s="64">
        <f t="shared" si="31"/>
        <v>-1273.2626025810355</v>
      </c>
      <c r="P68" s="64">
        <f t="shared" si="31"/>
        <v>-1415.8894320887803</v>
      </c>
      <c r="Q68" s="64">
        <f t="shared" si="31"/>
        <v>-1563.4630445471464</v>
      </c>
      <c r="R68" s="64">
        <f t="shared" si="31"/>
        <v>-1721.8954048464284</v>
      </c>
      <c r="S68" s="81">
        <f t="shared" si="31"/>
        <v>-1904.9552392736953</v>
      </c>
    </row>
    <row r="69" spans="2:19" x14ac:dyDescent="0.3">
      <c r="B69" s="91"/>
      <c r="C69" s="72"/>
      <c r="O69" s="63"/>
      <c r="P69" s="63"/>
      <c r="Q69" s="63"/>
      <c r="R69" s="63"/>
      <c r="S69" s="81"/>
    </row>
    <row r="70" spans="2:19" x14ac:dyDescent="0.3">
      <c r="B70" s="3" t="s">
        <v>172</v>
      </c>
      <c r="C70" s="104"/>
      <c r="D70" s="105">
        <f>D62+D64-D66-D68</f>
        <v>-39</v>
      </c>
      <c r="E70" s="105">
        <f t="shared" ref="E70:S70" si="32">E62+E64-E66-E68</f>
        <v>2073</v>
      </c>
      <c r="F70" s="105">
        <f t="shared" si="32"/>
        <v>2732</v>
      </c>
      <c r="G70" s="105">
        <f t="shared" si="32"/>
        <v>2488</v>
      </c>
      <c r="H70" s="105">
        <f t="shared" si="32"/>
        <v>14181</v>
      </c>
      <c r="I70" s="105">
        <f t="shared" si="32"/>
        <v>19533</v>
      </c>
      <c r="J70" s="105">
        <f t="shared" si="32"/>
        <v>-8334</v>
      </c>
      <c r="K70" s="105">
        <f t="shared" si="32"/>
        <v>12942</v>
      </c>
      <c r="L70" s="105">
        <f t="shared" si="32"/>
        <v>11410</v>
      </c>
      <c r="M70" s="105">
        <f t="shared" si="32"/>
        <v>37207</v>
      </c>
      <c r="N70" s="105">
        <f t="shared" si="32"/>
        <v>50427.095385997585</v>
      </c>
      <c r="O70" s="105">
        <f t="shared" si="32"/>
        <v>63912.193229227072</v>
      </c>
      <c r="P70" s="105">
        <f t="shared" si="32"/>
        <v>80749.110001949797</v>
      </c>
      <c r="Q70" s="105">
        <f t="shared" si="32"/>
        <v>97842.65668945403</v>
      </c>
      <c r="R70" s="105">
        <f t="shared" si="32"/>
        <v>113460.13950512081</v>
      </c>
      <c r="S70" s="106">
        <f t="shared" si="32"/>
        <v>131428.82863420949</v>
      </c>
    </row>
    <row r="76" spans="2:19" ht="4.95" customHeight="1" x14ac:dyDescent="0.3"/>
    <row r="78" spans="2:19" ht="4.95" customHeight="1" x14ac:dyDescent="0.3"/>
    <row r="114" spans="24:24" x14ac:dyDescent="0.3">
      <c r="X114" s="4"/>
    </row>
  </sheetData>
  <mergeCells count="2">
    <mergeCell ref="B2:S3"/>
    <mergeCell ref="B6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CB51-8C7E-4230-8FA4-24888184E592}">
  <dimension ref="A2:CF29"/>
  <sheetViews>
    <sheetView zoomScale="99" zoomScaleNormal="99" workbookViewId="0">
      <selection activeCell="L14" sqref="L14"/>
    </sheetView>
  </sheetViews>
  <sheetFormatPr defaultRowHeight="14.4" x14ac:dyDescent="0.3"/>
  <cols>
    <col min="1" max="1" width="1.77734375" customWidth="1"/>
    <col min="7" max="7" width="14.21875" bestFit="1" customWidth="1"/>
    <col min="17" max="17" width="65.88671875" bestFit="1" customWidth="1"/>
  </cols>
  <sheetData>
    <row r="2" spans="1:84" s="1" customFormat="1" ht="14.4" customHeight="1" x14ac:dyDescent="0.3">
      <c r="A2"/>
      <c r="B2" s="169" t="s">
        <v>160</v>
      </c>
      <c r="C2" s="169"/>
      <c r="D2" s="169"/>
      <c r="E2" s="169"/>
      <c r="F2" s="169"/>
      <c r="G2" s="169"/>
      <c r="H2" s="108"/>
      <c r="I2" s="108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 ht="14.4" customHeight="1" x14ac:dyDescent="0.3">
      <c r="B3" s="169"/>
      <c r="C3" s="169"/>
      <c r="D3" s="169"/>
      <c r="E3" s="169"/>
      <c r="F3" s="169"/>
      <c r="G3" s="169"/>
      <c r="H3" s="108"/>
      <c r="I3" s="108"/>
    </row>
    <row r="4" spans="1:84" ht="14.4" customHeight="1" x14ac:dyDescent="0.3">
      <c r="B4" s="108"/>
      <c r="C4" s="108"/>
      <c r="D4" s="108"/>
      <c r="E4" s="108"/>
      <c r="F4" s="108"/>
      <c r="G4" s="108"/>
      <c r="H4" s="108"/>
      <c r="I4" s="108"/>
    </row>
    <row r="5" spans="1:84" ht="14.4" customHeight="1" x14ac:dyDescent="0.3">
      <c r="B5" s="109" t="s">
        <v>152</v>
      </c>
      <c r="C5" s="107"/>
      <c r="D5" s="107"/>
      <c r="E5" s="107"/>
      <c r="F5" s="107"/>
      <c r="G5" s="107"/>
      <c r="H5" s="108" t="s">
        <v>176</v>
      </c>
      <c r="I5" s="108"/>
    </row>
    <row r="6" spans="1:84" ht="14.4" customHeight="1" x14ac:dyDescent="0.3">
      <c r="B6" s="126"/>
      <c r="C6" s="108"/>
      <c r="D6" s="108"/>
      <c r="E6" s="108"/>
      <c r="F6" s="108"/>
      <c r="G6" s="108"/>
      <c r="H6" s="108"/>
      <c r="I6" s="108"/>
    </row>
    <row r="7" spans="1:84" ht="14.4" customHeight="1" x14ac:dyDescent="0.3">
      <c r="B7" s="127" t="s">
        <v>177</v>
      </c>
      <c r="C7" s="108"/>
      <c r="D7" s="108"/>
      <c r="E7" s="108"/>
      <c r="F7" s="108"/>
      <c r="G7" s="108"/>
      <c r="H7" s="108"/>
      <c r="I7" s="108"/>
    </row>
    <row r="8" spans="1:84" x14ac:dyDescent="0.3">
      <c r="B8" s="110" t="s">
        <v>153</v>
      </c>
      <c r="C8" s="111"/>
      <c r="D8" s="124"/>
      <c r="E8" s="111"/>
      <c r="F8" s="111"/>
      <c r="G8" s="112">
        <v>2340000</v>
      </c>
    </row>
    <row r="9" spans="1:84" x14ac:dyDescent="0.3">
      <c r="B9" s="118" t="s">
        <v>154</v>
      </c>
      <c r="C9" s="119"/>
      <c r="D9" s="125"/>
      <c r="E9" s="119"/>
      <c r="F9" s="119"/>
      <c r="G9" s="120">
        <f>G8/(G8+G20)</f>
        <v>0.97637383935646116</v>
      </c>
    </row>
    <row r="10" spans="1:84" x14ac:dyDescent="0.3">
      <c r="B10" s="91"/>
      <c r="D10" s="72"/>
      <c r="G10" s="72"/>
    </row>
    <row r="11" spans="1:84" x14ac:dyDescent="0.3">
      <c r="B11" s="92" t="s">
        <v>155</v>
      </c>
      <c r="D11" s="72"/>
      <c r="G11" s="72"/>
    </row>
    <row r="12" spans="1:84" ht="4.95" customHeight="1" x14ac:dyDescent="0.3">
      <c r="B12" s="91"/>
      <c r="D12" s="72"/>
      <c r="G12" s="72"/>
    </row>
    <row r="13" spans="1:84" x14ac:dyDescent="0.3">
      <c r="B13" s="91" t="s">
        <v>174</v>
      </c>
      <c r="D13" s="72"/>
      <c r="G13" s="114">
        <v>4.2500000000000003E-2</v>
      </c>
    </row>
    <row r="14" spans="1:84" x14ac:dyDescent="0.3">
      <c r="B14" s="91" t="s">
        <v>156</v>
      </c>
      <c r="D14" s="72"/>
      <c r="G14" s="115">
        <v>1.33</v>
      </c>
    </row>
    <row r="15" spans="1:84" x14ac:dyDescent="0.3">
      <c r="B15" s="91" t="s">
        <v>175</v>
      </c>
      <c r="D15" s="72"/>
      <c r="G15" s="114">
        <f>10%-G13</f>
        <v>5.7500000000000002E-2</v>
      </c>
    </row>
    <row r="16" spans="1:84" x14ac:dyDescent="0.3">
      <c r="B16" s="91"/>
      <c r="D16" s="72"/>
      <c r="G16" s="72"/>
    </row>
    <row r="17" spans="1:7" x14ac:dyDescent="0.3">
      <c r="B17" s="88" t="s">
        <v>155</v>
      </c>
      <c r="C17" s="121"/>
      <c r="D17" s="89"/>
      <c r="E17" s="121"/>
      <c r="F17" s="121"/>
      <c r="G17" s="123">
        <f>G13+G14*(G15)</f>
        <v>0.118975</v>
      </c>
    </row>
    <row r="18" spans="1:7" x14ac:dyDescent="0.3">
      <c r="B18" s="91"/>
      <c r="D18" s="72"/>
      <c r="G18" s="72"/>
    </row>
    <row r="19" spans="1:7" x14ac:dyDescent="0.3">
      <c r="B19" s="91"/>
      <c r="D19" s="72"/>
      <c r="G19" s="72"/>
    </row>
    <row r="20" spans="1:7" x14ac:dyDescent="0.3">
      <c r="B20" s="91" t="s">
        <v>1</v>
      </c>
      <c r="D20" s="72"/>
      <c r="G20" s="116">
        <v>56623</v>
      </c>
    </row>
    <row r="21" spans="1:7" x14ac:dyDescent="0.3">
      <c r="B21" s="91" t="s">
        <v>157</v>
      </c>
      <c r="D21" s="72"/>
      <c r="G21" s="113">
        <f>G20/(G8+G20)</f>
        <v>2.3626160643538847E-2</v>
      </c>
    </row>
    <row r="22" spans="1:7" x14ac:dyDescent="0.3">
      <c r="B22" s="91"/>
      <c r="D22" s="72"/>
      <c r="G22" s="72"/>
    </row>
    <row r="23" spans="1:7" x14ac:dyDescent="0.3">
      <c r="B23" s="88" t="s">
        <v>158</v>
      </c>
      <c r="C23" s="121"/>
      <c r="D23" s="89"/>
      <c r="E23" s="121"/>
      <c r="F23" s="121"/>
      <c r="G23" s="122">
        <f>1800/G20</f>
        <v>3.1789202267629761E-2</v>
      </c>
    </row>
    <row r="24" spans="1:7" x14ac:dyDescent="0.3">
      <c r="B24" s="91"/>
      <c r="D24" s="72"/>
      <c r="F24" s="117"/>
      <c r="G24" s="72"/>
    </row>
    <row r="25" spans="1:7" x14ac:dyDescent="0.3">
      <c r="B25" s="91"/>
      <c r="D25" s="72"/>
      <c r="G25" s="72"/>
    </row>
    <row r="26" spans="1:7" x14ac:dyDescent="0.3">
      <c r="B26" s="128" t="s">
        <v>152</v>
      </c>
      <c r="C26" s="129"/>
      <c r="D26" s="130"/>
      <c r="E26" s="129"/>
      <c r="F26" s="129"/>
      <c r="G26" s="131">
        <f>(G9*G17) + (G21*G23)*(1-FCFF!N43)</f>
        <v>0.11679932210471305</v>
      </c>
    </row>
    <row r="29" spans="1:7" x14ac:dyDescent="0.3">
      <c r="A29" t="s">
        <v>0</v>
      </c>
    </row>
  </sheetData>
  <mergeCells count="1">
    <mergeCell ref="B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2695-BDCC-4E94-88D4-F513B9C1AA75}">
  <dimension ref="A2:CF37"/>
  <sheetViews>
    <sheetView topLeftCell="A13" zoomScale="99" zoomScaleNormal="99" workbookViewId="0">
      <selection activeCell="Q8" sqref="Q8"/>
    </sheetView>
  </sheetViews>
  <sheetFormatPr defaultRowHeight="14.4" x14ac:dyDescent="0.3"/>
  <cols>
    <col min="1" max="1" width="1.77734375" customWidth="1"/>
    <col min="5" max="9" width="11.77734375" customWidth="1"/>
    <col min="15" max="15" width="9.88671875" bestFit="1" customWidth="1"/>
    <col min="17" max="17" width="65.88671875" bestFit="1" customWidth="1"/>
  </cols>
  <sheetData>
    <row r="2" spans="1:84" s="1" customFormat="1" ht="14.4" customHeight="1" x14ac:dyDescent="0.3">
      <c r="A2"/>
      <c r="B2" s="169" t="s">
        <v>160</v>
      </c>
      <c r="C2" s="169"/>
      <c r="D2" s="169"/>
      <c r="E2" s="169"/>
      <c r="F2" s="169"/>
      <c r="G2" s="169"/>
      <c r="H2" s="107"/>
      <c r="I2" s="107"/>
      <c r="J2" s="38"/>
      <c r="K2" s="38"/>
      <c r="L2" s="38"/>
      <c r="M2" s="38"/>
      <c r="N2" s="38"/>
      <c r="O2" s="38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 ht="14.4" customHeight="1" x14ac:dyDescent="0.3">
      <c r="B3" s="169"/>
      <c r="C3" s="169"/>
      <c r="D3" s="169"/>
      <c r="E3" s="169"/>
      <c r="F3" s="169"/>
      <c r="G3" s="169"/>
      <c r="H3" s="107"/>
      <c r="I3" s="107"/>
      <c r="J3" s="38"/>
      <c r="K3" s="38"/>
      <c r="L3" s="38"/>
      <c r="M3" s="38"/>
      <c r="N3" s="38"/>
      <c r="O3" s="38"/>
    </row>
    <row r="4" spans="1:84" ht="14.4" customHeight="1" x14ac:dyDescent="0.3">
      <c r="B4" s="108"/>
      <c r="C4" s="108"/>
      <c r="D4" s="108"/>
      <c r="E4" s="108"/>
      <c r="F4" s="108"/>
      <c r="G4" s="108"/>
      <c r="H4" s="108"/>
      <c r="I4" s="108"/>
    </row>
    <row r="5" spans="1:84" ht="14.4" customHeight="1" x14ac:dyDescent="0.3">
      <c r="B5" s="109" t="s">
        <v>180</v>
      </c>
      <c r="C5" s="107"/>
      <c r="D5" s="107"/>
      <c r="E5" s="107"/>
      <c r="F5" s="107"/>
      <c r="G5" s="107"/>
      <c r="H5" s="107" t="s">
        <v>176</v>
      </c>
      <c r="I5" s="107"/>
      <c r="J5" s="38"/>
      <c r="K5" s="38"/>
      <c r="L5" s="38"/>
      <c r="M5" s="38"/>
      <c r="N5" s="38"/>
      <c r="O5" s="38"/>
    </row>
    <row r="6" spans="1:84" ht="14.4" customHeight="1" x14ac:dyDescent="0.3">
      <c r="B6" s="126"/>
      <c r="C6" s="108"/>
      <c r="D6" s="108"/>
      <c r="E6" s="108"/>
      <c r="F6" s="108"/>
      <c r="G6" s="108"/>
      <c r="H6" s="108"/>
      <c r="I6" s="108"/>
    </row>
    <row r="7" spans="1:84" ht="14.4" customHeight="1" x14ac:dyDescent="0.3">
      <c r="B7" s="136" t="s">
        <v>185</v>
      </c>
      <c r="C7" s="108"/>
      <c r="D7" s="108"/>
      <c r="E7" s="137" t="s">
        <v>188</v>
      </c>
      <c r="F7" s="108"/>
      <c r="G7" s="108"/>
      <c r="H7" s="108"/>
      <c r="I7" s="108"/>
      <c r="L7" s="52" t="s">
        <v>200</v>
      </c>
      <c r="O7" s="164">
        <v>221</v>
      </c>
    </row>
    <row r="8" spans="1:84" ht="14.4" customHeight="1" x14ac:dyDescent="0.3">
      <c r="B8" s="136" t="s">
        <v>186</v>
      </c>
      <c r="C8" s="108"/>
      <c r="D8" s="108"/>
      <c r="E8" s="138">
        <v>45658</v>
      </c>
      <c r="F8" s="108"/>
      <c r="G8" s="108"/>
      <c r="H8" s="108"/>
      <c r="I8" s="108"/>
      <c r="L8" s="52" t="s">
        <v>201</v>
      </c>
      <c r="O8" s="165">
        <f>I33</f>
        <v>256.11833512598366</v>
      </c>
    </row>
    <row r="9" spans="1:84" ht="14.4" customHeight="1" x14ac:dyDescent="0.3">
      <c r="B9" s="136" t="s">
        <v>187</v>
      </c>
      <c r="C9" s="108"/>
      <c r="D9" s="108"/>
      <c r="E9" s="139">
        <f>WACC!G26</f>
        <v>0.11679932210471305</v>
      </c>
      <c r="F9" s="108"/>
      <c r="G9" s="108"/>
      <c r="H9" s="108"/>
      <c r="I9" s="108"/>
      <c r="L9" s="52" t="s">
        <v>202</v>
      </c>
      <c r="O9" s="163">
        <f>-(O8-O7)/O8</f>
        <v>-0.13711761443673715</v>
      </c>
    </row>
    <row r="10" spans="1:84" ht="14.4" customHeight="1" x14ac:dyDescent="0.3">
      <c r="B10" s="126"/>
      <c r="C10" s="108"/>
      <c r="D10" s="108"/>
      <c r="E10" s="108"/>
      <c r="F10" s="108"/>
      <c r="G10" s="108"/>
      <c r="H10" s="108"/>
      <c r="I10" s="108"/>
    </row>
    <row r="11" spans="1:84" ht="14.4" customHeight="1" x14ac:dyDescent="0.3">
      <c r="B11" s="126"/>
      <c r="C11" s="108"/>
      <c r="D11" s="108"/>
      <c r="E11" s="108"/>
      <c r="F11" s="108"/>
      <c r="G11" s="108"/>
      <c r="H11" s="108"/>
      <c r="I11" s="108"/>
    </row>
    <row r="12" spans="1:84" ht="14.4" customHeight="1" x14ac:dyDescent="0.3">
      <c r="B12" s="127" t="s">
        <v>177</v>
      </c>
      <c r="C12" s="108"/>
      <c r="D12" s="108"/>
      <c r="E12" s="108"/>
      <c r="F12" s="108"/>
      <c r="G12" s="108"/>
      <c r="H12" s="108"/>
      <c r="I12" s="108"/>
    </row>
    <row r="14" spans="1:84" x14ac:dyDescent="0.3">
      <c r="B14" s="142"/>
      <c r="C14" s="143"/>
      <c r="D14" s="143"/>
      <c r="E14" s="144">
        <v>2025</v>
      </c>
      <c r="F14" s="144">
        <v>2026</v>
      </c>
      <c r="G14" s="144">
        <v>2027</v>
      </c>
      <c r="H14" s="144">
        <v>2028</v>
      </c>
      <c r="I14" s="98">
        <v>2029</v>
      </c>
      <c r="L14" s="90" t="s">
        <v>184</v>
      </c>
      <c r="M14" s="143"/>
      <c r="N14" s="143"/>
      <c r="O14" s="145"/>
    </row>
    <row r="15" spans="1:84" x14ac:dyDescent="0.3">
      <c r="B15" s="91" t="s">
        <v>181</v>
      </c>
      <c r="E15" s="39">
        <f>FCFF!O70</f>
        <v>63912.193229227072</v>
      </c>
      <c r="F15" s="39">
        <f>FCFF!P70</f>
        <v>80749.110001949797</v>
      </c>
      <c r="G15" s="39">
        <f>FCFF!Q70</f>
        <v>97842.65668945403</v>
      </c>
      <c r="H15" s="39">
        <f>FCFF!R70</f>
        <v>113460.13950512081</v>
      </c>
      <c r="I15" s="140">
        <f>FCFF!S70</f>
        <v>131428.82863420949</v>
      </c>
      <c r="L15" s="91"/>
      <c r="O15" s="72"/>
    </row>
    <row r="16" spans="1:84" x14ac:dyDescent="0.3">
      <c r="B16" s="91" t="s">
        <v>182</v>
      </c>
      <c r="E16" s="141">
        <v>1</v>
      </c>
      <c r="F16" s="141">
        <v>2</v>
      </c>
      <c r="G16" s="141">
        <v>3</v>
      </c>
      <c r="H16" s="141">
        <v>4</v>
      </c>
      <c r="I16" s="115">
        <v>5</v>
      </c>
      <c r="L16" s="91" t="s">
        <v>172</v>
      </c>
      <c r="O16" s="140">
        <f>I15</f>
        <v>131428.82863420949</v>
      </c>
    </row>
    <row r="17" spans="2:15" x14ac:dyDescent="0.3">
      <c r="B17" s="146" t="s">
        <v>183</v>
      </c>
      <c r="C17" s="147"/>
      <c r="D17" s="147"/>
      <c r="E17" s="155">
        <f>E15/(1+WACC!$G$26)^E16</f>
        <v>57228.001453993144</v>
      </c>
      <c r="F17" s="155">
        <f>F15/(1+WACC!$G$26)^F16</f>
        <v>64742.201187095874</v>
      </c>
      <c r="G17" s="155">
        <f>G15/(1+WACC!$G$26)^G16</f>
        <v>70242.961170657931</v>
      </c>
      <c r="H17" s="155">
        <f>H15/(1+WACC!$G$26)^H16</f>
        <v>72936.135154687814</v>
      </c>
      <c r="I17" s="148">
        <f>I15/(1+WACC!$G$26)^I16</f>
        <v>75651.044553030704</v>
      </c>
      <c r="L17" s="91" t="s">
        <v>189</v>
      </c>
      <c r="O17" s="114">
        <v>1.7999999999999999E-2</v>
      </c>
    </row>
    <row r="18" spans="2:15" x14ac:dyDescent="0.3">
      <c r="L18" s="91"/>
      <c r="O18" s="72"/>
    </row>
    <row r="19" spans="2:15" x14ac:dyDescent="0.3">
      <c r="L19" s="153" t="s">
        <v>190</v>
      </c>
      <c r="M19" s="152"/>
      <c r="N19" s="152"/>
      <c r="O19" s="154">
        <f>O16*(1+O17)/(E9-O17)</f>
        <v>1354205.1169928305</v>
      </c>
    </row>
    <row r="20" spans="2:15" x14ac:dyDescent="0.3">
      <c r="B20" s="90" t="s">
        <v>195</v>
      </c>
      <c r="C20" s="144"/>
      <c r="D20" s="144"/>
      <c r="E20" s="144"/>
      <c r="F20" s="144"/>
      <c r="G20" s="144"/>
      <c r="H20" s="144"/>
      <c r="I20" s="98"/>
      <c r="L20" s="91"/>
      <c r="O20" s="72"/>
    </row>
    <row r="21" spans="2:15" x14ac:dyDescent="0.3">
      <c r="B21" s="91"/>
      <c r="I21" s="72"/>
      <c r="L21" s="149" t="s">
        <v>191</v>
      </c>
      <c r="M21" s="150"/>
      <c r="N21" s="150"/>
      <c r="O21" s="151">
        <f>O19*(1+E9)^I16</f>
        <v>2352665.3638213393</v>
      </c>
    </row>
    <row r="22" spans="2:15" x14ac:dyDescent="0.3">
      <c r="B22" s="91" t="s">
        <v>192</v>
      </c>
      <c r="I22" s="156">
        <f>SUM(E17:I17)</f>
        <v>340800.34351946542</v>
      </c>
    </row>
    <row r="23" spans="2:15" x14ac:dyDescent="0.3">
      <c r="B23" s="91" t="s">
        <v>191</v>
      </c>
      <c r="D23" s="157" t="s">
        <v>170</v>
      </c>
      <c r="I23" s="156">
        <f>O21</f>
        <v>2352665.3638213393</v>
      </c>
    </row>
    <row r="24" spans="2:15" x14ac:dyDescent="0.3">
      <c r="B24" s="91"/>
      <c r="I24" s="72"/>
    </row>
    <row r="25" spans="2:15" x14ac:dyDescent="0.3">
      <c r="B25" s="158" t="s">
        <v>196</v>
      </c>
      <c r="C25" s="159"/>
      <c r="D25" s="159"/>
      <c r="E25" s="159"/>
      <c r="F25" s="159"/>
      <c r="G25" s="159"/>
      <c r="H25" s="159"/>
      <c r="I25" s="160">
        <f>SUM(I22:I23)</f>
        <v>2693465.7073408049</v>
      </c>
    </row>
    <row r="26" spans="2:15" x14ac:dyDescent="0.3">
      <c r="B26" s="91" t="s">
        <v>197</v>
      </c>
      <c r="C26" s="52"/>
      <c r="D26" s="52"/>
      <c r="E26" s="52"/>
      <c r="F26" s="52"/>
      <c r="G26" s="52"/>
      <c r="H26" s="52"/>
      <c r="I26" s="156">
        <f>WACC!G20</f>
        <v>56623</v>
      </c>
    </row>
    <row r="27" spans="2:15" x14ac:dyDescent="0.3">
      <c r="B27" s="91" t="s">
        <v>198</v>
      </c>
      <c r="C27" s="52"/>
      <c r="D27" s="52"/>
      <c r="E27" s="52"/>
      <c r="F27" s="52"/>
      <c r="G27" s="52"/>
      <c r="H27" s="52"/>
      <c r="I27" s="156">
        <v>78780</v>
      </c>
    </row>
    <row r="28" spans="2:15" ht="4.95" customHeight="1" x14ac:dyDescent="0.3">
      <c r="B28" s="92"/>
      <c r="C28" s="52"/>
      <c r="D28" s="52"/>
      <c r="E28" s="52"/>
      <c r="F28" s="52"/>
      <c r="G28" s="52"/>
      <c r="H28" s="52"/>
      <c r="I28" s="161"/>
    </row>
    <row r="29" spans="2:15" x14ac:dyDescent="0.3">
      <c r="B29" s="158" t="s">
        <v>193</v>
      </c>
      <c r="C29" s="152"/>
      <c r="D29" s="152"/>
      <c r="E29" s="152"/>
      <c r="F29" s="152"/>
      <c r="G29" s="152"/>
      <c r="H29" s="152"/>
      <c r="I29" s="160">
        <f>I25-I26+I27</f>
        <v>2715622.7073408049</v>
      </c>
    </row>
    <row r="30" spans="2:15" x14ac:dyDescent="0.3">
      <c r="B30" s="92"/>
      <c r="I30" s="72"/>
    </row>
    <row r="31" spans="2:15" x14ac:dyDescent="0.3">
      <c r="B31" s="91" t="s">
        <v>194</v>
      </c>
      <c r="I31" s="162">
        <v>10603</v>
      </c>
    </row>
    <row r="32" spans="2:15" x14ac:dyDescent="0.3">
      <c r="B32" s="91"/>
      <c r="I32" s="72"/>
    </row>
    <row r="33" spans="1:9" x14ac:dyDescent="0.3">
      <c r="B33" s="149" t="s">
        <v>199</v>
      </c>
      <c r="C33" s="150"/>
      <c r="D33" s="150"/>
      <c r="E33" s="150"/>
      <c r="F33" s="150"/>
      <c r="G33" s="150"/>
      <c r="H33" s="150"/>
      <c r="I33" s="151">
        <f>I29/I31</f>
        <v>256.11833512598366</v>
      </c>
    </row>
    <row r="37" spans="1:9" x14ac:dyDescent="0.3">
      <c r="A37" t="s">
        <v>0</v>
      </c>
    </row>
  </sheetData>
  <mergeCells count="1">
    <mergeCell ref="B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2877-8EFB-46B7-82DD-5EFFC7B906DE}">
  <sheetPr>
    <tabColor rgb="FFFFFF00"/>
  </sheetPr>
  <dimension ref="A1"/>
  <sheetViews>
    <sheetView workbookViewId="0">
      <selection activeCell="N20" sqref="N20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0D34-E0B3-44F1-8115-1ACA7B471D09}">
  <sheetPr>
    <outlinePr summaryBelow="0" summaryRight="0"/>
  </sheetPr>
  <dimension ref="A1:Q21"/>
  <sheetViews>
    <sheetView topLeftCell="A2" zoomScale="102" zoomScaleNormal="102" workbookViewId="0">
      <selection activeCell="B8" sqref="B8"/>
    </sheetView>
  </sheetViews>
  <sheetFormatPr defaultColWidth="9.21875" defaultRowHeight="15" customHeight="1" outlineLevelRow="1" x14ac:dyDescent="0.25"/>
  <cols>
    <col min="1" max="1" width="23" style="5" customWidth="1"/>
    <col min="2" max="11" width="7.77734375" style="5" customWidth="1"/>
    <col min="12" max="16" width="8.77734375" style="5" customWidth="1"/>
    <col min="17" max="17" width="9.44140625" style="5" customWidth="1"/>
    <col min="18" max="16384" width="9.21875" style="5"/>
  </cols>
  <sheetData>
    <row r="1" spans="1:17" ht="15" customHeight="1" x14ac:dyDescent="0.25">
      <c r="A1" s="13" t="s">
        <v>52</v>
      </c>
    </row>
    <row r="2" spans="1:17" ht="15" customHeight="1" x14ac:dyDescent="0.25">
      <c r="A2" s="5" t="s">
        <v>61</v>
      </c>
    </row>
    <row r="3" spans="1:17" ht="15" customHeight="1" x14ac:dyDescent="0.25">
      <c r="A3" s="12"/>
      <c r="B3" s="12" t="s">
        <v>50</v>
      </c>
      <c r="C3" s="12" t="s">
        <v>49</v>
      </c>
      <c r="D3" s="12" t="s">
        <v>48</v>
      </c>
      <c r="E3" s="12" t="s">
        <v>47</v>
      </c>
      <c r="F3" s="12" t="s">
        <v>46</v>
      </c>
      <c r="G3" s="12" t="s">
        <v>45</v>
      </c>
      <c r="H3" s="12" t="s">
        <v>44</v>
      </c>
      <c r="I3" s="12" t="s">
        <v>43</v>
      </c>
      <c r="J3" s="12" t="s">
        <v>42</v>
      </c>
      <c r="K3" s="12" t="s">
        <v>41</v>
      </c>
      <c r="L3" s="12" t="s">
        <v>40</v>
      </c>
      <c r="M3" s="12" t="s">
        <v>39</v>
      </c>
      <c r="N3" s="12" t="s">
        <v>38</v>
      </c>
      <c r="O3" s="12" t="s">
        <v>37</v>
      </c>
      <c r="P3" s="12" t="s">
        <v>36</v>
      </c>
      <c r="Q3" s="12" t="s">
        <v>35</v>
      </c>
    </row>
    <row r="4" spans="1:17" ht="15" customHeight="1" x14ac:dyDescent="0.25">
      <c r="A4" s="12"/>
      <c r="B4" s="12" t="s">
        <v>34</v>
      </c>
      <c r="C4" s="12" t="s">
        <v>33</v>
      </c>
      <c r="D4" s="12" t="s">
        <v>32</v>
      </c>
      <c r="E4" s="12" t="s">
        <v>31</v>
      </c>
      <c r="F4" s="12" t="s">
        <v>30</v>
      </c>
      <c r="G4" s="12" t="s">
        <v>29</v>
      </c>
      <c r="H4" s="12" t="s">
        <v>28</v>
      </c>
      <c r="I4" s="12" t="s">
        <v>27</v>
      </c>
      <c r="J4" s="12" t="s">
        <v>26</v>
      </c>
      <c r="K4" s="12" t="s">
        <v>25</v>
      </c>
      <c r="L4" s="12" t="s">
        <v>24</v>
      </c>
      <c r="M4" s="12" t="s">
        <v>23</v>
      </c>
      <c r="N4" s="12" t="s">
        <v>22</v>
      </c>
      <c r="O4" s="12" t="s">
        <v>21</v>
      </c>
      <c r="P4" s="12" t="s">
        <v>20</v>
      </c>
      <c r="Q4" s="12" t="s">
        <v>19</v>
      </c>
    </row>
    <row r="5" spans="1:17" ht="15" customHeight="1" x14ac:dyDescent="0.25">
      <c r="A5" s="42" t="s">
        <v>60</v>
      </c>
      <c r="B5" s="43">
        <v>88988</v>
      </c>
      <c r="C5" s="43">
        <v>107006</v>
      </c>
      <c r="D5" s="43">
        <v>135987</v>
      </c>
      <c r="E5" s="43">
        <v>177866</v>
      </c>
      <c r="F5" s="43">
        <v>232887</v>
      </c>
      <c r="G5" s="43">
        <v>280522</v>
      </c>
      <c r="H5" s="43">
        <v>386064</v>
      </c>
      <c r="I5" s="43">
        <v>469822</v>
      </c>
      <c r="J5" s="43">
        <v>513983</v>
      </c>
      <c r="K5" s="43">
        <v>574785</v>
      </c>
      <c r="L5" s="43">
        <v>635548</v>
      </c>
      <c r="M5" s="43">
        <v>704509</v>
      </c>
      <c r="N5" s="43">
        <v>779688</v>
      </c>
      <c r="O5" s="43">
        <v>858282</v>
      </c>
      <c r="P5" s="43">
        <v>942468</v>
      </c>
      <c r="Q5" s="43">
        <v>1029190</v>
      </c>
    </row>
    <row r="6" spans="1:17" ht="15" customHeight="1" collapsed="1" x14ac:dyDescent="0.25">
      <c r="A6" s="8" t="s">
        <v>55</v>
      </c>
      <c r="B6" s="6">
        <v>55469</v>
      </c>
      <c r="C6" s="6">
        <v>63708</v>
      </c>
      <c r="D6" s="6">
        <v>79785</v>
      </c>
      <c r="E6" s="6">
        <v>106110</v>
      </c>
      <c r="F6" s="6">
        <v>141366</v>
      </c>
      <c r="G6" s="6">
        <v>170773</v>
      </c>
      <c r="H6" s="6">
        <v>236282</v>
      </c>
      <c r="I6" s="6">
        <v>279833</v>
      </c>
      <c r="J6" s="6">
        <v>315880</v>
      </c>
      <c r="K6" s="6">
        <v>352828</v>
      </c>
      <c r="L6" s="6">
        <v>386647</v>
      </c>
      <c r="M6" s="6">
        <v>423461</v>
      </c>
      <c r="N6" s="6">
        <v>461471</v>
      </c>
      <c r="O6" s="6">
        <v>497416</v>
      </c>
      <c r="P6" s="6">
        <v>546306</v>
      </c>
      <c r="Q6" s="6">
        <v>590847</v>
      </c>
    </row>
    <row r="7" spans="1:17" ht="15" hidden="1" customHeight="1" outlineLevel="1" x14ac:dyDescent="0.25">
      <c r="A7" s="15" t="s">
        <v>59</v>
      </c>
      <c r="B7" s="40" t="s">
        <v>16</v>
      </c>
      <c r="C7" s="40" t="s">
        <v>16</v>
      </c>
      <c r="D7" s="11">
        <v>1318</v>
      </c>
      <c r="E7" s="40" t="s">
        <v>16</v>
      </c>
      <c r="F7" s="40" t="s">
        <v>16</v>
      </c>
      <c r="G7" s="40" t="s">
        <v>16</v>
      </c>
      <c r="H7" s="40" t="s">
        <v>16</v>
      </c>
      <c r="I7" s="40" t="s">
        <v>16</v>
      </c>
      <c r="J7" s="11">
        <v>4247</v>
      </c>
      <c r="K7" s="40" t="s">
        <v>16</v>
      </c>
      <c r="L7" s="11">
        <v>5380</v>
      </c>
      <c r="M7" s="40" t="s">
        <v>16</v>
      </c>
      <c r="N7" s="40" t="s">
        <v>16</v>
      </c>
      <c r="O7" s="40" t="s">
        <v>16</v>
      </c>
      <c r="P7" s="40" t="s">
        <v>16</v>
      </c>
      <c r="Q7" s="40" t="s">
        <v>16</v>
      </c>
    </row>
    <row r="8" spans="1:17" ht="15" customHeight="1" x14ac:dyDescent="0.25">
      <c r="A8" s="10" t="s">
        <v>54</v>
      </c>
      <c r="B8" s="11">
        <v>33519</v>
      </c>
      <c r="C8" s="11">
        <v>35418</v>
      </c>
      <c r="D8" s="11">
        <v>43983</v>
      </c>
      <c r="E8" s="11">
        <v>54297</v>
      </c>
      <c r="F8" s="11">
        <v>65866</v>
      </c>
      <c r="G8" s="11">
        <v>74723</v>
      </c>
      <c r="H8" s="11">
        <v>104412</v>
      </c>
      <c r="I8" s="11">
        <v>127787</v>
      </c>
      <c r="J8" s="11">
        <v>118007</v>
      </c>
      <c r="K8" s="11">
        <v>131200</v>
      </c>
      <c r="L8" s="11">
        <v>141444</v>
      </c>
      <c r="M8" s="11">
        <v>154680</v>
      </c>
      <c r="N8" s="11">
        <v>171709</v>
      </c>
      <c r="O8" s="11">
        <v>192631</v>
      </c>
      <c r="P8" s="11">
        <v>199416</v>
      </c>
      <c r="Q8" s="11">
        <v>215930</v>
      </c>
    </row>
    <row r="9" spans="1:17" ht="15" customHeight="1" x14ac:dyDescent="0.25">
      <c r="A9" s="8" t="s">
        <v>53</v>
      </c>
      <c r="B9" s="6" t="s">
        <v>16</v>
      </c>
      <c r="C9" s="6">
        <v>7880</v>
      </c>
      <c r="D9" s="6">
        <v>12219</v>
      </c>
      <c r="E9" s="6">
        <v>17459</v>
      </c>
      <c r="F9" s="6">
        <v>25655</v>
      </c>
      <c r="G9" s="6">
        <v>35026</v>
      </c>
      <c r="H9" s="6">
        <v>45370</v>
      </c>
      <c r="I9" s="6">
        <v>62202</v>
      </c>
      <c r="J9" s="6">
        <v>80096</v>
      </c>
      <c r="K9" s="6">
        <v>90757</v>
      </c>
      <c r="L9" s="6">
        <v>107555</v>
      </c>
      <c r="M9" s="6">
        <v>127628</v>
      </c>
      <c r="N9" s="6">
        <v>151647</v>
      </c>
      <c r="O9" s="6">
        <v>176580</v>
      </c>
      <c r="P9" s="6">
        <v>208724</v>
      </c>
      <c r="Q9" s="6">
        <v>249139</v>
      </c>
    </row>
    <row r="10" spans="1:17" ht="15" customHeight="1" x14ac:dyDescent="0.25">
      <c r="A10" s="10"/>
      <c r="B10" s="4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15" customHeight="1" x14ac:dyDescent="0.25">
      <c r="A11" s="44" t="s">
        <v>58</v>
      </c>
      <c r="B11" s="45">
        <v>178</v>
      </c>
      <c r="C11" s="45">
        <v>2233</v>
      </c>
      <c r="D11" s="45">
        <v>4186</v>
      </c>
      <c r="E11" s="45">
        <v>4106</v>
      </c>
      <c r="F11" s="45">
        <v>12421</v>
      </c>
      <c r="G11" s="45">
        <v>14541</v>
      </c>
      <c r="H11" s="45">
        <v>22899</v>
      </c>
      <c r="I11" s="45">
        <v>24879</v>
      </c>
      <c r="J11" s="45">
        <v>12248</v>
      </c>
      <c r="K11" s="45">
        <v>36852</v>
      </c>
      <c r="L11" s="45">
        <v>62364.9</v>
      </c>
      <c r="M11" s="45">
        <v>76519.399999999994</v>
      </c>
      <c r="N11" s="45">
        <v>95065</v>
      </c>
      <c r="O11" s="45">
        <v>119029</v>
      </c>
      <c r="P11" s="45">
        <v>143146</v>
      </c>
      <c r="Q11" s="45">
        <v>174540</v>
      </c>
    </row>
    <row r="12" spans="1:17" ht="15" customHeight="1" collapsed="1" x14ac:dyDescent="0.25">
      <c r="A12" s="10" t="s">
        <v>55</v>
      </c>
      <c r="B12" s="11">
        <v>2105</v>
      </c>
      <c r="C12" s="11">
        <v>2751</v>
      </c>
      <c r="D12" s="11">
        <v>4099</v>
      </c>
      <c r="E12" s="11">
        <v>2837</v>
      </c>
      <c r="F12" s="11">
        <v>7267</v>
      </c>
      <c r="G12" s="11">
        <v>7033</v>
      </c>
      <c r="H12" s="11">
        <v>8651</v>
      </c>
      <c r="I12" s="11">
        <v>7271</v>
      </c>
      <c r="J12" s="9">
        <v>-2847</v>
      </c>
      <c r="K12" s="11">
        <v>14877</v>
      </c>
      <c r="L12" s="11">
        <v>23233.5</v>
      </c>
      <c r="M12" s="11">
        <v>31059.3</v>
      </c>
      <c r="N12" s="11">
        <v>34190</v>
      </c>
      <c r="O12" s="40" t="s">
        <v>16</v>
      </c>
      <c r="P12" s="40" t="s">
        <v>16</v>
      </c>
      <c r="Q12" s="40" t="s">
        <v>16</v>
      </c>
    </row>
    <row r="13" spans="1:17" ht="15" hidden="1" customHeight="1" outlineLevel="1" x14ac:dyDescent="0.25">
      <c r="A13" s="14" t="s">
        <v>57</v>
      </c>
      <c r="B13" s="41" t="s">
        <v>16</v>
      </c>
      <c r="C13" s="41" t="s">
        <v>16</v>
      </c>
      <c r="D13" s="41" t="s">
        <v>16</v>
      </c>
      <c r="E13" s="41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7">
        <v>-2847</v>
      </c>
      <c r="K13" s="41" t="s">
        <v>16</v>
      </c>
      <c r="L13" s="41" t="s">
        <v>16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</row>
    <row r="14" spans="1:17" ht="15" customHeight="1" x14ac:dyDescent="0.25">
      <c r="A14" s="8" t="s">
        <v>54</v>
      </c>
      <c r="B14" s="41">
        <v>-297</v>
      </c>
      <c r="C14" s="6">
        <v>-91</v>
      </c>
      <c r="D14" s="6">
        <v>-477</v>
      </c>
      <c r="E14" s="6">
        <v>-3062</v>
      </c>
      <c r="F14" s="6">
        <v>-2142</v>
      </c>
      <c r="G14" s="6">
        <v>-1693</v>
      </c>
      <c r="H14" s="6">
        <v>717</v>
      </c>
      <c r="I14" s="6">
        <v>-924</v>
      </c>
      <c r="J14" s="6">
        <v>-7746</v>
      </c>
      <c r="K14" s="6">
        <v>-2656</v>
      </c>
      <c r="L14" s="6">
        <v>1765.17</v>
      </c>
      <c r="M14" s="6">
        <v>3899.91</v>
      </c>
      <c r="N14" s="6">
        <v>9726</v>
      </c>
      <c r="O14" s="6" t="s">
        <v>16</v>
      </c>
      <c r="P14" s="6" t="s">
        <v>16</v>
      </c>
      <c r="Q14" s="6" t="s">
        <v>16</v>
      </c>
    </row>
    <row r="15" spans="1:17" ht="15" customHeight="1" collapsed="1" x14ac:dyDescent="0.25">
      <c r="A15" s="10" t="s">
        <v>53</v>
      </c>
      <c r="B15" s="11" t="s">
        <v>16</v>
      </c>
      <c r="C15" s="11">
        <v>1863</v>
      </c>
      <c r="D15" s="11">
        <v>3706</v>
      </c>
      <c r="E15" s="11">
        <v>4331</v>
      </c>
      <c r="F15" s="11">
        <v>7296</v>
      </c>
      <c r="G15" s="11">
        <v>9201</v>
      </c>
      <c r="H15" s="11">
        <v>13531</v>
      </c>
      <c r="I15" s="11">
        <v>18532</v>
      </c>
      <c r="J15" s="9">
        <v>22841</v>
      </c>
      <c r="K15" s="11">
        <v>24631</v>
      </c>
      <c r="L15" s="11">
        <v>37271.5</v>
      </c>
      <c r="M15" s="11">
        <v>42816.2</v>
      </c>
      <c r="N15" s="11">
        <v>53907.1</v>
      </c>
      <c r="O15" s="40">
        <v>70418.5</v>
      </c>
      <c r="P15" s="40">
        <v>85067.5</v>
      </c>
      <c r="Q15" s="40">
        <v>102298</v>
      </c>
    </row>
    <row r="16" spans="1:17" ht="15" hidden="1" customHeight="1" outlineLevel="1" x14ac:dyDescent="0.25">
      <c r="A16" s="10" t="s">
        <v>56</v>
      </c>
      <c r="B16" s="40" t="s">
        <v>16</v>
      </c>
      <c r="C16" s="40" t="s">
        <v>16</v>
      </c>
      <c r="D16" s="40" t="s">
        <v>16</v>
      </c>
      <c r="E16" s="40" t="s">
        <v>16</v>
      </c>
      <c r="F16" s="40" t="s">
        <v>16</v>
      </c>
      <c r="G16" s="40" t="s">
        <v>16</v>
      </c>
      <c r="H16" s="40" t="s">
        <v>16</v>
      </c>
      <c r="I16" s="11">
        <v>495.17500000000001</v>
      </c>
      <c r="J16" s="11">
        <v>568.89</v>
      </c>
      <c r="K16" s="40" t="s">
        <v>16</v>
      </c>
      <c r="L16" s="40" t="s">
        <v>16</v>
      </c>
      <c r="M16" s="40" t="s">
        <v>16</v>
      </c>
      <c r="N16" s="40" t="s">
        <v>16</v>
      </c>
      <c r="O16" s="40" t="s">
        <v>16</v>
      </c>
      <c r="P16" s="40" t="s">
        <v>16</v>
      </c>
      <c r="Q16" s="40" t="s">
        <v>16</v>
      </c>
    </row>
    <row r="17" spans="1:17" ht="15" customHeight="1" x14ac:dyDescent="0.25">
      <c r="A17" s="10"/>
      <c r="B17" s="40"/>
      <c r="C17" s="40"/>
      <c r="D17" s="40"/>
      <c r="E17" s="40"/>
      <c r="F17" s="40"/>
      <c r="G17" s="40"/>
      <c r="H17" s="40"/>
      <c r="I17" s="11"/>
      <c r="J17" s="11"/>
      <c r="K17" s="40"/>
      <c r="L17" s="40"/>
      <c r="M17" s="40"/>
      <c r="N17" s="40"/>
      <c r="O17" s="40"/>
      <c r="P17" s="40"/>
      <c r="Q17" s="40"/>
    </row>
    <row r="18" spans="1:17" ht="15" customHeight="1" x14ac:dyDescent="0.25">
      <c r="A18" s="44" t="s">
        <v>9</v>
      </c>
      <c r="B18" s="45">
        <v>6553</v>
      </c>
      <c r="C18" s="45">
        <v>10805</v>
      </c>
      <c r="D18" s="45">
        <v>15440</v>
      </c>
      <c r="E18" s="45">
        <v>20007</v>
      </c>
      <c r="F18" s="45">
        <v>33476</v>
      </c>
      <c r="G18" s="45">
        <v>43245</v>
      </c>
      <c r="H18" s="45">
        <v>57284</v>
      </c>
      <c r="I18" s="45">
        <v>71994</v>
      </c>
      <c r="J18" s="45">
        <v>73836</v>
      </c>
      <c r="K18" s="45">
        <v>109538</v>
      </c>
      <c r="L18" s="45">
        <v>137679</v>
      </c>
      <c r="M18" s="45">
        <v>159786</v>
      </c>
      <c r="N18" s="45">
        <v>184965</v>
      </c>
      <c r="O18" s="45">
        <v>217623</v>
      </c>
      <c r="P18" s="45">
        <v>248736</v>
      </c>
      <c r="Q18" s="45">
        <v>289356</v>
      </c>
    </row>
    <row r="19" spans="1:17" ht="15" customHeight="1" x14ac:dyDescent="0.25">
      <c r="A19" s="10" t="s">
        <v>55</v>
      </c>
      <c r="B19" s="40" t="s">
        <v>16</v>
      </c>
      <c r="C19" s="40" t="s">
        <v>16</v>
      </c>
      <c r="D19" s="40" t="s">
        <v>16</v>
      </c>
      <c r="E19" s="11">
        <v>7463</v>
      </c>
      <c r="F19" s="11">
        <v>13492</v>
      </c>
      <c r="G19" s="11">
        <v>16504</v>
      </c>
      <c r="H19" s="11">
        <v>17413</v>
      </c>
      <c r="I19" s="11">
        <v>22762</v>
      </c>
      <c r="J19" s="11">
        <v>17894</v>
      </c>
      <c r="K19" s="11">
        <v>41189</v>
      </c>
      <c r="L19" s="11">
        <v>47377</v>
      </c>
      <c r="M19" s="11">
        <v>53874</v>
      </c>
      <c r="N19" s="40" t="s">
        <v>16</v>
      </c>
      <c r="O19" s="40" t="s">
        <v>16</v>
      </c>
      <c r="P19" s="40" t="s">
        <v>16</v>
      </c>
      <c r="Q19" s="40" t="s">
        <v>16</v>
      </c>
    </row>
    <row r="20" spans="1:17" ht="15" customHeight="1" x14ac:dyDescent="0.25">
      <c r="A20" s="8" t="s">
        <v>54</v>
      </c>
      <c r="B20" s="41" t="s">
        <v>16</v>
      </c>
      <c r="C20" s="41" t="s">
        <v>16</v>
      </c>
      <c r="D20" s="41" t="s">
        <v>16</v>
      </c>
      <c r="E20" s="6">
        <v>1945</v>
      </c>
      <c r="F20" s="41" t="s">
        <v>16</v>
      </c>
      <c r="G20" s="6">
        <v>5921</v>
      </c>
      <c r="H20" s="6">
        <v>7269</v>
      </c>
      <c r="I20" s="6">
        <v>14485</v>
      </c>
      <c r="J20" s="6">
        <v>14198</v>
      </c>
      <c r="K20" s="6">
        <v>16832</v>
      </c>
      <c r="L20" s="6">
        <v>25226</v>
      </c>
      <c r="M20" s="6">
        <v>28198</v>
      </c>
      <c r="N20" s="41" t="s">
        <v>16</v>
      </c>
      <c r="O20" s="41" t="s">
        <v>16</v>
      </c>
      <c r="P20" s="41" t="s">
        <v>16</v>
      </c>
      <c r="Q20" s="41" t="s">
        <v>16</v>
      </c>
    </row>
    <row r="21" spans="1:17" ht="15" customHeight="1" x14ac:dyDescent="0.25">
      <c r="A21" s="10" t="s">
        <v>53</v>
      </c>
      <c r="B21" s="40" t="s">
        <v>16</v>
      </c>
      <c r="C21" s="40" t="s">
        <v>16</v>
      </c>
      <c r="D21" s="40" t="s">
        <v>16</v>
      </c>
      <c r="E21" s="11">
        <v>9128</v>
      </c>
      <c r="F21" s="11">
        <v>14189</v>
      </c>
      <c r="G21" s="11">
        <v>18239.599999999999</v>
      </c>
      <c r="H21" s="11">
        <v>22953.5</v>
      </c>
      <c r="I21" s="11">
        <v>31239</v>
      </c>
      <c r="J21" s="11">
        <v>37506</v>
      </c>
      <c r="K21" s="11">
        <v>46916</v>
      </c>
      <c r="L21" s="11">
        <v>65410.5</v>
      </c>
      <c r="M21" s="11">
        <v>76791.5</v>
      </c>
      <c r="N21" s="11">
        <v>99377</v>
      </c>
      <c r="O21" s="11">
        <v>118602</v>
      </c>
      <c r="P21" s="11">
        <v>140497</v>
      </c>
      <c r="Q21" s="11">
        <v>165221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4117-CF58-437C-96CD-44CD8651967C}">
  <sheetPr>
    <outlinePr summaryBelow="0" summaryRight="0"/>
  </sheetPr>
  <dimension ref="A1:L53"/>
  <sheetViews>
    <sheetView topLeftCell="A30" zoomScale="99" zoomScaleNormal="99" workbookViewId="0">
      <selection activeCell="Q49" sqref="Q49:Q50"/>
    </sheetView>
  </sheetViews>
  <sheetFormatPr defaultColWidth="9.21875" defaultRowHeight="15" customHeight="1" outlineLevelRow="3" x14ac:dyDescent="0.25"/>
  <cols>
    <col min="1" max="1" width="53.21875" style="5" customWidth="1"/>
    <col min="2" max="5" width="8.44140625" style="5" customWidth="1"/>
    <col min="6" max="12" width="9.44140625" style="5" customWidth="1"/>
    <col min="13" max="16384" width="9.21875" style="5"/>
  </cols>
  <sheetData>
    <row r="1" spans="1:12" ht="15" customHeight="1" x14ac:dyDescent="0.25">
      <c r="A1" s="13" t="s">
        <v>117</v>
      </c>
    </row>
    <row r="2" spans="1:12" ht="15" customHeight="1" x14ac:dyDescent="0.25">
      <c r="A2" s="33" t="s">
        <v>116</v>
      </c>
    </row>
    <row r="3" spans="1:12" ht="1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5" spans="1:12" ht="15" customHeight="1" x14ac:dyDescent="0.25">
      <c r="A5" s="12" t="s">
        <v>115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ht="15" customHeight="1" x14ac:dyDescent="0.25">
      <c r="A6" s="12" t="s">
        <v>114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ht="15" customHeight="1" x14ac:dyDescent="0.25">
      <c r="A7" s="12" t="s">
        <v>113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ht="15" customHeight="1" x14ac:dyDescent="0.25">
      <c r="A8" s="12"/>
      <c r="B8" s="12" t="s">
        <v>112</v>
      </c>
      <c r="C8" s="12" t="s">
        <v>111</v>
      </c>
      <c r="D8" s="12" t="s">
        <v>110</v>
      </c>
      <c r="E8" s="12" t="s">
        <v>109</v>
      </c>
      <c r="F8" s="12" t="s">
        <v>108</v>
      </c>
      <c r="G8" s="12" t="s">
        <v>107</v>
      </c>
      <c r="H8" s="12" t="s">
        <v>106</v>
      </c>
      <c r="I8" s="12" t="s">
        <v>105</v>
      </c>
      <c r="J8" s="12" t="s">
        <v>104</v>
      </c>
      <c r="K8" s="12" t="s">
        <v>103</v>
      </c>
      <c r="L8" s="12" t="s">
        <v>102</v>
      </c>
    </row>
    <row r="9" spans="1:12" ht="1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 t="s">
        <v>101</v>
      </c>
    </row>
    <row r="10" spans="1:12" ht="15" customHeight="1" x14ac:dyDescent="0.25">
      <c r="A10" s="25" t="s">
        <v>60</v>
      </c>
      <c r="B10" s="28">
        <v>88988</v>
      </c>
      <c r="C10" s="28">
        <v>107006</v>
      </c>
      <c r="D10" s="28">
        <v>135987</v>
      </c>
      <c r="E10" s="28">
        <v>177866</v>
      </c>
      <c r="F10" s="28">
        <v>232887</v>
      </c>
      <c r="G10" s="28">
        <v>280522</v>
      </c>
      <c r="H10" s="28">
        <v>386064</v>
      </c>
      <c r="I10" s="28">
        <v>469822</v>
      </c>
      <c r="J10" s="28">
        <v>513983</v>
      </c>
      <c r="K10" s="28">
        <v>574785</v>
      </c>
      <c r="L10" s="28">
        <v>604334</v>
      </c>
    </row>
    <row r="11" spans="1:12" ht="15" customHeight="1" outlineLevel="1" x14ac:dyDescent="0.25">
      <c r="A11" s="22" t="s">
        <v>151</v>
      </c>
      <c r="B11" s="21">
        <v>62752</v>
      </c>
      <c r="C11" s="21">
        <v>71651</v>
      </c>
      <c r="D11" s="21">
        <v>88265</v>
      </c>
      <c r="E11" s="21">
        <v>111934</v>
      </c>
      <c r="F11" s="21">
        <v>139156</v>
      </c>
      <c r="G11" s="21">
        <v>165536</v>
      </c>
      <c r="H11" s="21">
        <v>233307</v>
      </c>
      <c r="I11" s="21">
        <v>272344</v>
      </c>
      <c r="J11" s="21">
        <v>288831</v>
      </c>
      <c r="K11" s="21">
        <v>304739</v>
      </c>
      <c r="L11" s="21">
        <v>313993</v>
      </c>
    </row>
    <row r="12" spans="1:12" ht="15" customHeight="1" outlineLevel="2" x14ac:dyDescent="0.25">
      <c r="A12" s="20" t="s">
        <v>150</v>
      </c>
      <c r="B12" s="6">
        <v>59530</v>
      </c>
      <c r="C12" s="6">
        <v>67109</v>
      </c>
      <c r="D12" s="6">
        <v>82212</v>
      </c>
      <c r="E12" s="6">
        <v>103282</v>
      </c>
      <c r="F12" s="6">
        <v>123815</v>
      </c>
      <c r="G12" s="6">
        <v>143747</v>
      </c>
      <c r="H12" s="6">
        <v>208056</v>
      </c>
      <c r="I12" s="6">
        <v>238048</v>
      </c>
      <c r="J12" s="6">
        <v>246910</v>
      </c>
      <c r="K12" s="6">
        <v>256076</v>
      </c>
      <c r="L12" s="6">
        <v>264320</v>
      </c>
    </row>
    <row r="13" spans="1:12" ht="15" customHeight="1" outlineLevel="2" x14ac:dyDescent="0.25">
      <c r="A13" s="37" t="s">
        <v>118</v>
      </c>
      <c r="B13" s="21">
        <v>3222</v>
      </c>
      <c r="C13" s="21">
        <v>4542</v>
      </c>
      <c r="D13" s="21">
        <v>6053</v>
      </c>
      <c r="E13" s="21">
        <v>8652</v>
      </c>
      <c r="F13" s="21">
        <v>15341</v>
      </c>
      <c r="G13" s="21">
        <v>21789</v>
      </c>
      <c r="H13" s="21">
        <v>25251</v>
      </c>
      <c r="I13" s="21">
        <v>34296</v>
      </c>
      <c r="J13" s="21">
        <v>41921</v>
      </c>
      <c r="K13" s="21">
        <v>48663</v>
      </c>
      <c r="L13" s="21">
        <v>49673</v>
      </c>
    </row>
    <row r="14" spans="1:12" ht="15" customHeight="1" outlineLevel="3" x14ac:dyDescent="0.25">
      <c r="A14" s="26" t="s">
        <v>11</v>
      </c>
      <c r="B14" s="6">
        <v>3041</v>
      </c>
      <c r="C14" s="6">
        <v>4314</v>
      </c>
      <c r="D14" s="6">
        <v>5766</v>
      </c>
      <c r="E14" s="6">
        <v>8286</v>
      </c>
      <c r="F14" s="6">
        <v>14866</v>
      </c>
      <c r="G14" s="6">
        <v>21224</v>
      </c>
      <c r="H14" s="6">
        <v>24742</v>
      </c>
      <c r="I14" s="6">
        <v>33784</v>
      </c>
      <c r="J14" s="6">
        <v>41317</v>
      </c>
      <c r="K14" s="6">
        <v>47957</v>
      </c>
      <c r="L14" s="8"/>
    </row>
    <row r="15" spans="1:12" ht="15" customHeight="1" outlineLevel="3" x14ac:dyDescent="0.25">
      <c r="A15" s="27" t="s">
        <v>149</v>
      </c>
      <c r="B15" s="11">
        <v>181</v>
      </c>
      <c r="C15" s="11">
        <v>228</v>
      </c>
      <c r="D15" s="11">
        <v>287</v>
      </c>
      <c r="E15" s="11">
        <v>366</v>
      </c>
      <c r="F15" s="11">
        <v>475</v>
      </c>
      <c r="G15" s="11">
        <v>565</v>
      </c>
      <c r="H15" s="11">
        <v>509</v>
      </c>
      <c r="I15" s="11">
        <v>512</v>
      </c>
      <c r="J15" s="11">
        <v>604</v>
      </c>
      <c r="K15" s="11">
        <v>706</v>
      </c>
      <c r="L15" s="10"/>
    </row>
    <row r="16" spans="1:12" ht="15" customHeight="1" x14ac:dyDescent="0.25">
      <c r="A16" s="25" t="s">
        <v>148</v>
      </c>
      <c r="B16" s="28">
        <v>26236</v>
      </c>
      <c r="C16" s="28">
        <v>35355</v>
      </c>
      <c r="D16" s="28">
        <v>47722</v>
      </c>
      <c r="E16" s="28">
        <v>65932</v>
      </c>
      <c r="F16" s="28">
        <v>93731</v>
      </c>
      <c r="G16" s="28">
        <v>114986</v>
      </c>
      <c r="H16" s="28">
        <v>152757</v>
      </c>
      <c r="I16" s="28">
        <v>197478</v>
      </c>
      <c r="J16" s="28">
        <v>225152</v>
      </c>
      <c r="K16" s="28">
        <v>270046</v>
      </c>
      <c r="L16" s="28">
        <v>290341</v>
      </c>
    </row>
    <row r="17" spans="1:12" ht="15" customHeight="1" outlineLevel="1" x14ac:dyDescent="0.25">
      <c r="A17" s="22" t="s">
        <v>147</v>
      </c>
      <c r="B17" s="21">
        <v>25925</v>
      </c>
      <c r="C17" s="21">
        <v>32951</v>
      </c>
      <c r="D17" s="21">
        <v>43369</v>
      </c>
      <c r="E17" s="21">
        <v>61612</v>
      </c>
      <c r="F17" s="21">
        <v>81014</v>
      </c>
      <c r="G17" s="21">
        <v>100244</v>
      </c>
      <c r="H17" s="21">
        <v>129933</v>
      </c>
      <c r="I17" s="21">
        <v>172537</v>
      </c>
      <c r="J17" s="21">
        <v>211641</v>
      </c>
      <c r="K17" s="21">
        <v>232427</v>
      </c>
      <c r="L17" s="21">
        <v>235242</v>
      </c>
    </row>
    <row r="18" spans="1:12" ht="15" customHeight="1" outlineLevel="2" x14ac:dyDescent="0.25">
      <c r="A18" s="20" t="s">
        <v>146</v>
      </c>
      <c r="B18" s="6">
        <v>9275</v>
      </c>
      <c r="C18" s="6">
        <v>12540</v>
      </c>
      <c r="D18" s="6">
        <v>16085</v>
      </c>
      <c r="E18" s="6">
        <v>22620</v>
      </c>
      <c r="F18" s="6">
        <v>28837</v>
      </c>
      <c r="G18" s="6">
        <v>35931</v>
      </c>
      <c r="H18" s="6">
        <v>42740</v>
      </c>
      <c r="I18" s="6">
        <v>56052</v>
      </c>
      <c r="J18" s="6">
        <v>73213</v>
      </c>
      <c r="K18" s="6">
        <v>85622</v>
      </c>
      <c r="L18" s="6">
        <v>85969</v>
      </c>
    </row>
    <row r="19" spans="1:12" ht="15" customHeight="1" outlineLevel="2" x14ac:dyDescent="0.25">
      <c r="A19" s="19" t="s">
        <v>145</v>
      </c>
      <c r="B19" s="11">
        <v>16650</v>
      </c>
      <c r="C19" s="11">
        <v>20411</v>
      </c>
      <c r="D19" s="11">
        <v>27284</v>
      </c>
      <c r="E19" s="11">
        <v>38992</v>
      </c>
      <c r="F19" s="11">
        <v>52177</v>
      </c>
      <c r="G19" s="11">
        <v>64313</v>
      </c>
      <c r="H19" s="11">
        <v>87193</v>
      </c>
      <c r="I19" s="11">
        <v>116485</v>
      </c>
      <c r="J19" s="11">
        <v>138428</v>
      </c>
      <c r="K19" s="11">
        <v>146805</v>
      </c>
      <c r="L19" s="11">
        <v>149273</v>
      </c>
    </row>
    <row r="20" spans="1:12" ht="15" customHeight="1" x14ac:dyDescent="0.25">
      <c r="A20" s="25" t="s">
        <v>144</v>
      </c>
      <c r="B20" s="28">
        <v>311</v>
      </c>
      <c r="C20" s="28">
        <v>2404</v>
      </c>
      <c r="D20" s="28">
        <v>4353</v>
      </c>
      <c r="E20" s="28">
        <v>4320</v>
      </c>
      <c r="F20" s="28">
        <v>12717</v>
      </c>
      <c r="G20" s="28">
        <v>14742</v>
      </c>
      <c r="H20" s="28">
        <v>22824</v>
      </c>
      <c r="I20" s="28">
        <v>24941</v>
      </c>
      <c r="J20" s="28">
        <v>13511</v>
      </c>
      <c r="K20" s="28">
        <v>37619</v>
      </c>
      <c r="L20" s="28">
        <v>55099</v>
      </c>
    </row>
    <row r="21" spans="1:12" ht="15" customHeight="1" outlineLevel="1" x14ac:dyDescent="0.25">
      <c r="A21" s="22" t="s">
        <v>143</v>
      </c>
      <c r="B21" s="21">
        <v>-212</v>
      </c>
      <c r="C21" s="21">
        <v>-377</v>
      </c>
      <c r="D21" s="21">
        <v>-44</v>
      </c>
      <c r="E21" s="21">
        <v>225</v>
      </c>
      <c r="F21" s="21">
        <v>92</v>
      </c>
      <c r="G21" s="21">
        <v>823</v>
      </c>
      <c r="H21" s="21">
        <v>1501</v>
      </c>
      <c r="I21" s="21">
        <v>2178</v>
      </c>
      <c r="J21" s="21">
        <v>-1078</v>
      </c>
      <c r="K21" s="21">
        <v>2110</v>
      </c>
      <c r="L21" s="21">
        <v>2758</v>
      </c>
    </row>
    <row r="22" spans="1:12" ht="15" customHeight="1" outlineLevel="2" x14ac:dyDescent="0.25">
      <c r="A22" s="20" t="s">
        <v>142</v>
      </c>
      <c r="B22" s="6">
        <v>39</v>
      </c>
      <c r="C22" s="6">
        <v>50</v>
      </c>
      <c r="D22" s="6">
        <v>100</v>
      </c>
      <c r="E22" s="6">
        <v>202</v>
      </c>
      <c r="F22" s="6">
        <v>440</v>
      </c>
      <c r="G22" s="6">
        <v>832</v>
      </c>
      <c r="H22" s="6">
        <v>555</v>
      </c>
      <c r="I22" s="6">
        <v>448</v>
      </c>
      <c r="J22" s="6">
        <v>989</v>
      </c>
      <c r="K22" s="6">
        <v>2949</v>
      </c>
      <c r="L22" s="6">
        <v>3850</v>
      </c>
    </row>
    <row r="23" spans="1:12" ht="15" customHeight="1" outlineLevel="2" x14ac:dyDescent="0.25">
      <c r="A23" s="19" t="s">
        <v>141</v>
      </c>
      <c r="B23" s="9">
        <v>-251</v>
      </c>
      <c r="C23" s="9">
        <v>-427</v>
      </c>
      <c r="D23" s="9">
        <v>-144</v>
      </c>
      <c r="E23" s="11">
        <v>23</v>
      </c>
      <c r="F23" s="9">
        <v>-348</v>
      </c>
      <c r="G23" s="9">
        <v>-9</v>
      </c>
      <c r="H23" s="11">
        <v>946</v>
      </c>
      <c r="I23" s="11">
        <v>1730</v>
      </c>
      <c r="J23" s="9">
        <v>-2067</v>
      </c>
      <c r="K23" s="9">
        <v>-839</v>
      </c>
      <c r="L23" s="9">
        <v>-1092</v>
      </c>
    </row>
    <row r="24" spans="1:12" ht="15" customHeight="1" outlineLevel="1" x14ac:dyDescent="0.25">
      <c r="A24" s="30" t="s">
        <v>7</v>
      </c>
      <c r="B24" s="28">
        <v>210</v>
      </c>
      <c r="C24" s="28">
        <v>459</v>
      </c>
      <c r="D24" s="28">
        <v>484</v>
      </c>
      <c r="E24" s="28">
        <v>848</v>
      </c>
      <c r="F24" s="28">
        <v>1417</v>
      </c>
      <c r="G24" s="28">
        <v>1600</v>
      </c>
      <c r="H24" s="28">
        <v>1647</v>
      </c>
      <c r="I24" s="28">
        <v>1809</v>
      </c>
      <c r="J24" s="28">
        <v>2367</v>
      </c>
      <c r="K24" s="28">
        <v>3182</v>
      </c>
      <c r="L24" s="28">
        <v>2752</v>
      </c>
    </row>
    <row r="25" spans="1:12" ht="15" customHeight="1" outlineLevel="2" x14ac:dyDescent="0.25">
      <c r="A25" s="19" t="s">
        <v>140</v>
      </c>
      <c r="B25" s="11">
        <v>210</v>
      </c>
      <c r="C25" s="11">
        <v>459</v>
      </c>
      <c r="D25" s="11">
        <v>484</v>
      </c>
      <c r="E25" s="11">
        <v>848</v>
      </c>
      <c r="F25" s="11">
        <v>1417</v>
      </c>
      <c r="G25" s="11">
        <v>1600</v>
      </c>
      <c r="H25" s="11">
        <v>1647</v>
      </c>
      <c r="I25" s="11">
        <v>1809</v>
      </c>
      <c r="J25" s="11">
        <v>2367</v>
      </c>
      <c r="K25" s="11">
        <v>3182</v>
      </c>
      <c r="L25" s="11">
        <v>2752</v>
      </c>
    </row>
    <row r="26" spans="1:12" ht="15" customHeight="1" outlineLevel="1" x14ac:dyDescent="0.25">
      <c r="A26" s="30" t="s">
        <v>139</v>
      </c>
      <c r="B26" s="25"/>
      <c r="C26" s="25"/>
      <c r="D26" s="28">
        <v>-67</v>
      </c>
      <c r="E26" s="28">
        <v>-109</v>
      </c>
      <c r="F26" s="28">
        <v>131</v>
      </c>
      <c r="G26" s="28">
        <v>-11</v>
      </c>
      <c r="H26" s="28">
        <v>-1500</v>
      </c>
      <c r="I26" s="28">
        <v>-12841</v>
      </c>
      <c r="J26" s="28">
        <v>16002</v>
      </c>
      <c r="K26" s="28">
        <v>-1010</v>
      </c>
      <c r="L26" s="28">
        <v>1002</v>
      </c>
    </row>
    <row r="27" spans="1:12" ht="15" customHeight="1" outlineLevel="2" x14ac:dyDescent="0.25">
      <c r="A27" s="37" t="s">
        <v>138</v>
      </c>
      <c r="B27" s="31"/>
      <c r="C27" s="31"/>
      <c r="D27" s="21">
        <v>67</v>
      </c>
      <c r="E27" s="21">
        <v>109</v>
      </c>
      <c r="F27" s="21">
        <v>-131</v>
      </c>
      <c r="G27" s="21">
        <v>11</v>
      </c>
      <c r="H27" s="21">
        <v>1500</v>
      </c>
      <c r="I27" s="21">
        <v>12841</v>
      </c>
      <c r="J27" s="21">
        <v>-16002</v>
      </c>
      <c r="K27" s="21">
        <v>1010</v>
      </c>
      <c r="L27" s="21">
        <v>-832</v>
      </c>
    </row>
    <row r="28" spans="1:12" ht="15" customHeight="1" outlineLevel="3" x14ac:dyDescent="0.25">
      <c r="A28" s="26" t="s">
        <v>137</v>
      </c>
      <c r="B28" s="8"/>
      <c r="C28" s="8"/>
      <c r="D28" s="8"/>
      <c r="E28" s="8"/>
      <c r="F28" s="8"/>
      <c r="G28" s="8"/>
      <c r="H28" s="8"/>
      <c r="I28" s="6">
        <v>11526</v>
      </c>
      <c r="J28" s="7">
        <v>-13870</v>
      </c>
      <c r="K28" s="6">
        <v>984</v>
      </c>
      <c r="L28" s="7">
        <v>-518</v>
      </c>
    </row>
    <row r="29" spans="1:12" ht="15" customHeight="1" outlineLevel="3" x14ac:dyDescent="0.25">
      <c r="A29" s="27" t="s">
        <v>136</v>
      </c>
      <c r="B29" s="10"/>
      <c r="C29" s="10"/>
      <c r="D29" s="11">
        <v>67</v>
      </c>
      <c r="E29" s="11">
        <v>109</v>
      </c>
      <c r="F29" s="9">
        <v>-131</v>
      </c>
      <c r="G29" s="11">
        <v>11</v>
      </c>
      <c r="H29" s="11">
        <v>1500</v>
      </c>
      <c r="I29" s="11">
        <v>1315</v>
      </c>
      <c r="J29" s="9">
        <v>-2132</v>
      </c>
      <c r="K29" s="11">
        <v>26</v>
      </c>
      <c r="L29" s="9">
        <v>-314</v>
      </c>
    </row>
    <row r="30" spans="1:12" ht="15" customHeight="1" x14ac:dyDescent="0.25">
      <c r="A30" s="25" t="s">
        <v>135</v>
      </c>
      <c r="B30" s="28">
        <v>-111</v>
      </c>
      <c r="C30" s="28">
        <v>1568</v>
      </c>
      <c r="D30" s="28">
        <v>3892</v>
      </c>
      <c r="E30" s="28">
        <v>3806</v>
      </c>
      <c r="F30" s="28">
        <v>11261</v>
      </c>
      <c r="G30" s="28">
        <v>13976</v>
      </c>
      <c r="H30" s="28">
        <v>24178</v>
      </c>
      <c r="I30" s="28">
        <v>38151</v>
      </c>
      <c r="J30" s="28">
        <v>-5936</v>
      </c>
      <c r="K30" s="28">
        <v>37557</v>
      </c>
      <c r="L30" s="28">
        <v>54103</v>
      </c>
    </row>
    <row r="31" spans="1:12" ht="15" customHeight="1" outlineLevel="1" x14ac:dyDescent="0.25">
      <c r="A31" s="22" t="s">
        <v>134</v>
      </c>
      <c r="B31" s="21">
        <v>167</v>
      </c>
      <c r="C31" s="21">
        <v>950</v>
      </c>
      <c r="D31" s="21">
        <v>1425</v>
      </c>
      <c r="E31" s="21">
        <v>769</v>
      </c>
      <c r="F31" s="21">
        <v>1197</v>
      </c>
      <c r="G31" s="21">
        <v>2374</v>
      </c>
      <c r="H31" s="21">
        <v>2863</v>
      </c>
      <c r="I31" s="21">
        <v>4791</v>
      </c>
      <c r="J31" s="21">
        <v>-3217</v>
      </c>
      <c r="K31" s="21">
        <v>7120</v>
      </c>
      <c r="L31" s="21">
        <v>9602</v>
      </c>
    </row>
    <row r="32" spans="1:12" ht="15" customHeight="1" outlineLevel="2" x14ac:dyDescent="0.25">
      <c r="A32" s="20" t="s">
        <v>133</v>
      </c>
      <c r="B32" s="6">
        <v>279</v>
      </c>
      <c r="C32" s="6">
        <v>452</v>
      </c>
      <c r="D32" s="6">
        <v>1344</v>
      </c>
      <c r="E32" s="6">
        <v>74</v>
      </c>
      <c r="F32" s="6">
        <v>193</v>
      </c>
      <c r="G32" s="6">
        <v>438</v>
      </c>
      <c r="H32" s="6">
        <v>2461</v>
      </c>
      <c r="I32" s="6">
        <v>2892</v>
      </c>
      <c r="J32" s="6">
        <v>3249</v>
      </c>
      <c r="K32" s="6">
        <v>10810</v>
      </c>
      <c r="L32" s="8"/>
    </row>
    <row r="33" spans="1:12" ht="15" customHeight="1" outlineLevel="2" x14ac:dyDescent="0.25">
      <c r="A33" s="19" t="s">
        <v>132</v>
      </c>
      <c r="B33" s="11">
        <v>204</v>
      </c>
      <c r="C33" s="11">
        <v>417</v>
      </c>
      <c r="D33" s="11">
        <v>327</v>
      </c>
      <c r="E33" s="11">
        <v>724</v>
      </c>
      <c r="F33" s="11">
        <v>563</v>
      </c>
      <c r="G33" s="11">
        <v>1140</v>
      </c>
      <c r="H33" s="11">
        <v>956</v>
      </c>
      <c r="I33" s="11">
        <v>2209</v>
      </c>
      <c r="J33" s="11">
        <v>1682</v>
      </c>
      <c r="K33" s="11">
        <v>2186</v>
      </c>
      <c r="L33" s="10"/>
    </row>
    <row r="34" spans="1:12" ht="15" customHeight="1" outlineLevel="2" x14ac:dyDescent="0.25">
      <c r="A34" s="20" t="s">
        <v>131</v>
      </c>
      <c r="B34" s="7">
        <v>-136</v>
      </c>
      <c r="C34" s="6">
        <v>302</v>
      </c>
      <c r="D34" s="6">
        <v>85</v>
      </c>
      <c r="E34" s="7">
        <v>-228</v>
      </c>
      <c r="F34" s="6">
        <v>570</v>
      </c>
      <c r="G34" s="6">
        <v>922</v>
      </c>
      <c r="H34" s="7">
        <v>-341</v>
      </c>
      <c r="I34" s="7">
        <v>-23</v>
      </c>
      <c r="J34" s="7">
        <v>-7988</v>
      </c>
      <c r="K34" s="7">
        <v>-6003</v>
      </c>
      <c r="L34" s="8"/>
    </row>
    <row r="35" spans="1:12" ht="15" customHeight="1" outlineLevel="2" x14ac:dyDescent="0.25">
      <c r="A35" s="19" t="s">
        <v>130</v>
      </c>
      <c r="B35" s="9">
        <v>-180</v>
      </c>
      <c r="C35" s="9">
        <v>-221</v>
      </c>
      <c r="D35" s="9">
        <v>-331</v>
      </c>
      <c r="E35" s="11">
        <v>199</v>
      </c>
      <c r="F35" s="9">
        <v>-129</v>
      </c>
      <c r="G35" s="9">
        <v>-126</v>
      </c>
      <c r="H35" s="9">
        <v>-213</v>
      </c>
      <c r="I35" s="9">
        <v>-287</v>
      </c>
      <c r="J35" s="9">
        <v>-160</v>
      </c>
      <c r="K35" s="11">
        <v>127</v>
      </c>
      <c r="L35" s="10"/>
    </row>
    <row r="36" spans="1:12" ht="15" customHeight="1" outlineLevel="1" x14ac:dyDescent="0.25">
      <c r="A36" s="23" t="s">
        <v>129</v>
      </c>
      <c r="B36" s="6">
        <v>37</v>
      </c>
      <c r="C36" s="7">
        <v>-22</v>
      </c>
      <c r="D36" s="7">
        <v>-96</v>
      </c>
      <c r="E36" s="7">
        <v>-4</v>
      </c>
      <c r="F36" s="6">
        <v>9</v>
      </c>
      <c r="G36" s="7">
        <v>-14</v>
      </c>
      <c r="H36" s="6">
        <v>16</v>
      </c>
      <c r="I36" s="6">
        <v>4</v>
      </c>
      <c r="J36" s="7">
        <v>-3</v>
      </c>
      <c r="K36" s="7">
        <v>-12</v>
      </c>
      <c r="L36" s="7">
        <v>-82</v>
      </c>
    </row>
    <row r="37" spans="1:12" ht="15" customHeight="1" x14ac:dyDescent="0.25">
      <c r="A37" s="10" t="s">
        <v>128</v>
      </c>
      <c r="B37" s="9">
        <v>-241</v>
      </c>
      <c r="C37" s="11">
        <v>596</v>
      </c>
      <c r="D37" s="11">
        <v>2371</v>
      </c>
      <c r="E37" s="11">
        <v>3033</v>
      </c>
      <c r="F37" s="11">
        <v>10073</v>
      </c>
      <c r="G37" s="11">
        <v>11588</v>
      </c>
      <c r="H37" s="11">
        <v>21331</v>
      </c>
      <c r="I37" s="11">
        <v>33364</v>
      </c>
      <c r="J37" s="9">
        <v>-2722</v>
      </c>
      <c r="K37" s="11">
        <v>30425</v>
      </c>
      <c r="L37" s="11">
        <v>44419</v>
      </c>
    </row>
    <row r="38" spans="1:12" ht="15" customHeight="1" x14ac:dyDescent="0.25">
      <c r="A38" s="25" t="s">
        <v>8</v>
      </c>
      <c r="B38" s="28">
        <v>-241</v>
      </c>
      <c r="C38" s="28">
        <v>596</v>
      </c>
      <c r="D38" s="28">
        <v>2371</v>
      </c>
      <c r="E38" s="28">
        <v>3033</v>
      </c>
      <c r="F38" s="28">
        <v>10073</v>
      </c>
      <c r="G38" s="28">
        <v>11588</v>
      </c>
      <c r="H38" s="28">
        <v>21331</v>
      </c>
      <c r="I38" s="28">
        <v>33364</v>
      </c>
      <c r="J38" s="28">
        <v>-2722</v>
      </c>
      <c r="K38" s="28">
        <v>30425</v>
      </c>
      <c r="L38" s="28">
        <v>44419</v>
      </c>
    </row>
    <row r="39" spans="1:12" ht="15" customHeight="1" outlineLevel="1" x14ac:dyDescent="0.25">
      <c r="A39" s="24" t="s">
        <v>127</v>
      </c>
      <c r="B39" s="9">
        <v>-241</v>
      </c>
      <c r="C39" s="11">
        <v>596</v>
      </c>
      <c r="D39" s="11">
        <v>2371</v>
      </c>
      <c r="E39" s="11">
        <v>3033</v>
      </c>
      <c r="F39" s="11">
        <v>10073</v>
      </c>
      <c r="G39" s="11">
        <v>11588</v>
      </c>
      <c r="H39" s="11">
        <v>21331</v>
      </c>
      <c r="I39" s="11">
        <v>33364</v>
      </c>
      <c r="J39" s="9">
        <v>-2722</v>
      </c>
      <c r="K39" s="11">
        <v>30425</v>
      </c>
      <c r="L39" s="11">
        <v>44419</v>
      </c>
    </row>
    <row r="40" spans="1:12" ht="15" customHeight="1" x14ac:dyDescent="0.25">
      <c r="A40" s="25" t="s">
        <v>126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2" ht="15" customHeight="1" outlineLevel="1" x14ac:dyDescent="0.25">
      <c r="A41" s="24" t="s">
        <v>125</v>
      </c>
      <c r="B41" s="18">
        <v>-2.6082000000000001E-2</v>
      </c>
      <c r="C41" s="17">
        <v>6.2474000000000002E-2</v>
      </c>
      <c r="D41" s="17">
        <v>0.240093</v>
      </c>
      <c r="E41" s="17">
        <v>0.29986800000000002</v>
      </c>
      <c r="F41" s="17">
        <v>1.01647</v>
      </c>
      <c r="G41" s="17">
        <v>1.1488389999999999</v>
      </c>
      <c r="H41" s="17">
        <v>1.9883329999999999</v>
      </c>
      <c r="I41" s="17">
        <v>2.3665340000000001</v>
      </c>
      <c r="J41" s="17">
        <v>0.83221100000000003</v>
      </c>
      <c r="K41" s="17">
        <v>2.8324440000000002</v>
      </c>
      <c r="L41" s="17">
        <v>4.2137089999999997</v>
      </c>
    </row>
    <row r="42" spans="1:12" ht="15" customHeight="1" outlineLevel="1" x14ac:dyDescent="0.25">
      <c r="A42" s="30" t="s">
        <v>124</v>
      </c>
      <c r="B42" s="36">
        <v>-2.5999999999999999E-2</v>
      </c>
      <c r="C42" s="36">
        <v>6.4000000000000001E-2</v>
      </c>
      <c r="D42" s="36">
        <v>0.25009999999999999</v>
      </c>
      <c r="E42" s="36">
        <v>0.316</v>
      </c>
      <c r="F42" s="36">
        <v>1.034</v>
      </c>
      <c r="G42" s="36">
        <v>1.1729000000000001</v>
      </c>
      <c r="H42" s="36">
        <v>2.1331000000000002</v>
      </c>
      <c r="I42" s="36">
        <v>3.2968000000000002</v>
      </c>
      <c r="J42" s="36">
        <v>-0.26719999999999999</v>
      </c>
      <c r="K42" s="36">
        <v>2.9527000000000001</v>
      </c>
      <c r="L42" s="36">
        <v>4.2774000000000001</v>
      </c>
    </row>
    <row r="43" spans="1:12" ht="15" customHeight="1" outlineLevel="2" x14ac:dyDescent="0.25">
      <c r="A43" s="19" t="s">
        <v>123</v>
      </c>
      <c r="B43" s="17">
        <v>9240</v>
      </c>
      <c r="C43" s="17">
        <v>9340</v>
      </c>
      <c r="D43" s="17">
        <v>9480</v>
      </c>
      <c r="E43" s="17">
        <v>9600</v>
      </c>
      <c r="F43" s="17">
        <v>9740</v>
      </c>
      <c r="G43" s="17">
        <v>9880</v>
      </c>
      <c r="H43" s="17">
        <v>10000</v>
      </c>
      <c r="I43" s="17">
        <v>10120</v>
      </c>
      <c r="J43" s="17">
        <v>10189</v>
      </c>
      <c r="K43" s="17">
        <v>10304</v>
      </c>
      <c r="L43" s="17">
        <v>10447</v>
      </c>
    </row>
    <row r="44" spans="1:12" ht="15" customHeight="1" outlineLevel="2" x14ac:dyDescent="0.25">
      <c r="A44" s="20" t="s">
        <v>120</v>
      </c>
      <c r="B44" s="34">
        <v>9300</v>
      </c>
      <c r="C44" s="34">
        <v>9420</v>
      </c>
      <c r="D44" s="34">
        <v>9540</v>
      </c>
      <c r="E44" s="34">
        <v>9680</v>
      </c>
      <c r="F44" s="34">
        <v>9820</v>
      </c>
      <c r="G44" s="34">
        <v>9960</v>
      </c>
      <c r="H44" s="34">
        <v>10060</v>
      </c>
      <c r="I44" s="34">
        <v>10180</v>
      </c>
      <c r="J44" s="34">
        <v>10242</v>
      </c>
      <c r="K44" s="34">
        <v>10383</v>
      </c>
      <c r="L44" s="34">
        <v>10490</v>
      </c>
    </row>
    <row r="45" spans="1:12" ht="15" customHeight="1" outlineLevel="1" x14ac:dyDescent="0.25">
      <c r="A45" s="22" t="s">
        <v>122</v>
      </c>
      <c r="B45" s="35">
        <v>-2.5999999999999999E-2</v>
      </c>
      <c r="C45" s="35">
        <v>6.25E-2</v>
      </c>
      <c r="D45" s="35">
        <v>0.245</v>
      </c>
      <c r="E45" s="35">
        <v>0.3075</v>
      </c>
      <c r="F45" s="35">
        <v>1.0073000000000001</v>
      </c>
      <c r="G45" s="35">
        <v>1.1496</v>
      </c>
      <c r="H45" s="35">
        <v>2.0912999999999999</v>
      </c>
      <c r="I45" s="35">
        <v>3.2391999999999999</v>
      </c>
      <c r="J45" s="35">
        <v>-0.26719999999999999</v>
      </c>
      <c r="K45" s="35">
        <v>2.8997999999999999</v>
      </c>
      <c r="L45" s="35">
        <v>4.1738999999999997</v>
      </c>
    </row>
    <row r="46" spans="1:12" ht="15" customHeight="1" outlineLevel="2" x14ac:dyDescent="0.25">
      <c r="A46" s="20" t="s">
        <v>121</v>
      </c>
      <c r="B46" s="34">
        <v>9240</v>
      </c>
      <c r="C46" s="34">
        <v>9540</v>
      </c>
      <c r="D46" s="34">
        <v>9680</v>
      </c>
      <c r="E46" s="34">
        <v>9860</v>
      </c>
      <c r="F46" s="34">
        <v>10000</v>
      </c>
      <c r="G46" s="34">
        <v>10080</v>
      </c>
      <c r="H46" s="34">
        <v>10200</v>
      </c>
      <c r="I46" s="34">
        <v>10300</v>
      </c>
      <c r="J46" s="34">
        <v>10189</v>
      </c>
      <c r="K46" s="34">
        <v>10492</v>
      </c>
      <c r="L46" s="34">
        <v>10708</v>
      </c>
    </row>
    <row r="47" spans="1:12" ht="15" customHeight="1" outlineLevel="2" x14ac:dyDescent="0.25">
      <c r="A47" s="19" t="s">
        <v>120</v>
      </c>
      <c r="B47" s="17">
        <v>9300</v>
      </c>
      <c r="C47" s="17">
        <v>9420</v>
      </c>
      <c r="D47" s="17">
        <v>9540</v>
      </c>
      <c r="E47" s="17">
        <v>9680</v>
      </c>
      <c r="F47" s="17">
        <v>9820</v>
      </c>
      <c r="G47" s="17">
        <v>9960</v>
      </c>
      <c r="H47" s="17">
        <v>10060</v>
      </c>
      <c r="I47" s="17">
        <v>10180</v>
      </c>
      <c r="J47" s="17">
        <v>10242</v>
      </c>
      <c r="K47" s="17">
        <v>10383</v>
      </c>
      <c r="L47" s="17">
        <v>10490</v>
      </c>
    </row>
    <row r="48" spans="1:12" ht="15" customHeight="1" outlineLevel="1" x14ac:dyDescent="0.25">
      <c r="A48" s="23" t="s">
        <v>119</v>
      </c>
      <c r="B48" s="34">
        <v>63.042000000000002</v>
      </c>
      <c r="C48" s="34">
        <v>70.867999999999995</v>
      </c>
      <c r="D48" s="34">
        <v>74.055000000000007</v>
      </c>
      <c r="E48" s="34">
        <v>57.155000000000001</v>
      </c>
      <c r="F48" s="34">
        <v>76.614000000000004</v>
      </c>
      <c r="G48" s="34">
        <v>74.36</v>
      </c>
      <c r="H48" s="34">
        <v>77.337999999999994</v>
      </c>
      <c r="I48" s="34">
        <v>68.89</v>
      </c>
      <c r="J48" s="34">
        <v>79.504000000000005</v>
      </c>
      <c r="K48" s="34">
        <v>85.314999999999998</v>
      </c>
      <c r="L48" s="8"/>
    </row>
    <row r="49" spans="1:12" ht="15" customHeight="1" x14ac:dyDescent="0.25">
      <c r="A49" s="31" t="s">
        <v>9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 spans="1:12" ht="15" customHeight="1" outlineLevel="1" x14ac:dyDescent="0.25">
      <c r="A50" s="30" t="s">
        <v>9</v>
      </c>
      <c r="B50" s="28">
        <v>3533</v>
      </c>
      <c r="C50" s="28">
        <v>6946</v>
      </c>
      <c r="D50" s="28">
        <v>10406</v>
      </c>
      <c r="E50" s="28">
        <v>12972</v>
      </c>
      <c r="F50" s="28">
        <v>28058</v>
      </c>
      <c r="G50" s="28">
        <v>36531</v>
      </c>
      <c r="H50" s="28">
        <v>48075</v>
      </c>
      <c r="I50" s="28">
        <v>59237</v>
      </c>
      <c r="J50" s="28">
        <v>55432</v>
      </c>
      <c r="K50" s="28">
        <v>86282</v>
      </c>
      <c r="L50" s="28">
        <v>104772</v>
      </c>
    </row>
    <row r="51" spans="1:12" ht="15" customHeight="1" outlineLevel="2" x14ac:dyDescent="0.25">
      <c r="A51" s="19" t="s">
        <v>6</v>
      </c>
      <c r="B51" s="11">
        <v>311</v>
      </c>
      <c r="C51" s="11">
        <v>2404</v>
      </c>
      <c r="D51" s="11">
        <v>4353</v>
      </c>
      <c r="E51" s="11">
        <v>4320</v>
      </c>
      <c r="F51" s="11">
        <v>12717</v>
      </c>
      <c r="G51" s="11">
        <v>14742</v>
      </c>
      <c r="H51" s="11">
        <v>22824</v>
      </c>
      <c r="I51" s="11">
        <v>24941</v>
      </c>
      <c r="J51" s="11">
        <v>13511</v>
      </c>
      <c r="K51" s="11">
        <v>37619</v>
      </c>
      <c r="L51" s="11">
        <v>55099</v>
      </c>
    </row>
    <row r="52" spans="1:12" ht="15" customHeight="1" outlineLevel="2" x14ac:dyDescent="0.25">
      <c r="A52" s="20" t="s">
        <v>118</v>
      </c>
      <c r="B52" s="6">
        <v>3222</v>
      </c>
      <c r="C52" s="6">
        <v>4542</v>
      </c>
      <c r="D52" s="6">
        <v>6053</v>
      </c>
      <c r="E52" s="6">
        <v>8652</v>
      </c>
      <c r="F52" s="6">
        <v>15341</v>
      </c>
      <c r="G52" s="6">
        <v>21789</v>
      </c>
      <c r="H52" s="6">
        <v>25251</v>
      </c>
      <c r="I52" s="6">
        <v>34296</v>
      </c>
      <c r="J52" s="6">
        <v>41921</v>
      </c>
      <c r="K52" s="6">
        <v>48663</v>
      </c>
      <c r="L52" s="6">
        <v>49673</v>
      </c>
    </row>
    <row r="53" spans="1:12" ht="15" customHeight="1" x14ac:dyDescent="0.25">
      <c r="A53" s="16" t="s">
        <v>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690D-1137-4D1D-AFB2-FBFC6C311D89}">
  <sheetPr>
    <outlinePr summaryBelow="0" summaryRight="0"/>
  </sheetPr>
  <dimension ref="A1:L52"/>
  <sheetViews>
    <sheetView topLeftCell="A4" zoomScale="99" zoomScaleNormal="99" workbookViewId="0"/>
  </sheetViews>
  <sheetFormatPr defaultColWidth="9.21875" defaultRowHeight="15" customHeight="1" outlineLevelRow="3" x14ac:dyDescent="0.25"/>
  <cols>
    <col min="1" max="1" width="53.21875" style="5" customWidth="1"/>
    <col min="2" max="11" width="8" style="5" customWidth="1"/>
    <col min="12" max="12" width="7.77734375" style="5" customWidth="1"/>
    <col min="13" max="16384" width="9.21875" style="5"/>
  </cols>
  <sheetData>
    <row r="1" spans="1:12" ht="15" customHeight="1" x14ac:dyDescent="0.25">
      <c r="A1" s="13" t="s">
        <v>117</v>
      </c>
    </row>
    <row r="2" spans="1:12" ht="15" customHeight="1" x14ac:dyDescent="0.25">
      <c r="A2" s="33" t="s">
        <v>116</v>
      </c>
    </row>
    <row r="3" spans="1:12" ht="1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5" spans="1:12" ht="15" customHeight="1" x14ac:dyDescent="0.25">
      <c r="A5" s="12" t="s">
        <v>115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ht="15" customHeight="1" x14ac:dyDescent="0.25">
      <c r="A6" s="12" t="s">
        <v>114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ht="15" customHeight="1" x14ac:dyDescent="0.25">
      <c r="A7" s="12" t="s">
        <v>113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ht="15" customHeight="1" x14ac:dyDescent="0.25">
      <c r="A8" s="12"/>
      <c r="B8" s="12" t="s">
        <v>112</v>
      </c>
      <c r="C8" s="12" t="s">
        <v>111</v>
      </c>
      <c r="D8" s="12" t="s">
        <v>110</v>
      </c>
      <c r="E8" s="12" t="s">
        <v>109</v>
      </c>
      <c r="F8" s="12" t="s">
        <v>108</v>
      </c>
      <c r="G8" s="12" t="s">
        <v>107</v>
      </c>
      <c r="H8" s="12" t="s">
        <v>106</v>
      </c>
      <c r="I8" s="12" t="s">
        <v>105</v>
      </c>
      <c r="J8" s="12" t="s">
        <v>104</v>
      </c>
      <c r="K8" s="12" t="s">
        <v>103</v>
      </c>
      <c r="L8" s="12" t="s">
        <v>102</v>
      </c>
    </row>
    <row r="9" spans="1:12" ht="1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 t="s">
        <v>101</v>
      </c>
    </row>
    <row r="10" spans="1:12" ht="15" customHeight="1" x14ac:dyDescent="0.25">
      <c r="A10" s="25" t="s">
        <v>100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ht="15" customHeight="1" outlineLevel="1" x14ac:dyDescent="0.25">
      <c r="A11" s="24" t="s">
        <v>99</v>
      </c>
      <c r="B11" s="9">
        <v>-241</v>
      </c>
      <c r="C11" s="11">
        <v>596</v>
      </c>
      <c r="D11" s="11">
        <v>2371</v>
      </c>
      <c r="E11" s="11">
        <v>3033</v>
      </c>
      <c r="F11" s="11">
        <v>10073</v>
      </c>
      <c r="G11" s="11">
        <v>11588</v>
      </c>
      <c r="H11" s="11">
        <v>21331</v>
      </c>
      <c r="I11" s="11">
        <v>33364</v>
      </c>
      <c r="J11" s="9">
        <v>-2722</v>
      </c>
      <c r="K11" s="11">
        <v>30425</v>
      </c>
      <c r="L11" s="11">
        <v>44419</v>
      </c>
    </row>
    <row r="12" spans="1:12" ht="15" customHeight="1" outlineLevel="1" x14ac:dyDescent="0.25">
      <c r="A12" s="30" t="s">
        <v>98</v>
      </c>
      <c r="B12" s="28">
        <v>4187</v>
      </c>
      <c r="C12" s="28">
        <v>5646</v>
      </c>
      <c r="D12" s="28">
        <v>7482</v>
      </c>
      <c r="E12" s="28">
        <v>10933</v>
      </c>
      <c r="F12" s="28">
        <v>15341</v>
      </c>
      <c r="G12" s="28">
        <v>21789</v>
      </c>
      <c r="H12" s="28">
        <v>25251</v>
      </c>
      <c r="I12" s="28">
        <v>34296</v>
      </c>
      <c r="J12" s="28">
        <v>41921</v>
      </c>
      <c r="K12" s="28">
        <v>48663</v>
      </c>
      <c r="L12" s="28">
        <v>49673</v>
      </c>
    </row>
    <row r="13" spans="1:12" ht="15" customHeight="1" outlineLevel="2" x14ac:dyDescent="0.25">
      <c r="A13" s="19" t="s">
        <v>97</v>
      </c>
      <c r="B13" s="10"/>
      <c r="C13" s="10"/>
      <c r="D13" s="10"/>
      <c r="E13" s="10"/>
      <c r="F13" s="11">
        <v>14866</v>
      </c>
      <c r="G13" s="11">
        <v>21224</v>
      </c>
      <c r="H13" s="11">
        <v>24742</v>
      </c>
      <c r="I13" s="11">
        <v>33784</v>
      </c>
      <c r="J13" s="11">
        <v>41317</v>
      </c>
      <c r="K13" s="11">
        <v>47957</v>
      </c>
      <c r="L13" s="10"/>
    </row>
    <row r="14" spans="1:12" ht="15" customHeight="1" outlineLevel="2" x14ac:dyDescent="0.25">
      <c r="A14" s="20" t="s">
        <v>96</v>
      </c>
      <c r="B14" s="8"/>
      <c r="C14" s="8"/>
      <c r="D14" s="8"/>
      <c r="E14" s="8"/>
      <c r="F14" s="6">
        <v>475</v>
      </c>
      <c r="G14" s="6">
        <v>565</v>
      </c>
      <c r="H14" s="6">
        <v>509</v>
      </c>
      <c r="I14" s="6">
        <v>512</v>
      </c>
      <c r="J14" s="6">
        <v>604</v>
      </c>
      <c r="K14" s="6">
        <v>706</v>
      </c>
      <c r="L14" s="8"/>
    </row>
    <row r="15" spans="1:12" ht="15" customHeight="1" outlineLevel="1" x14ac:dyDescent="0.25">
      <c r="A15" s="22" t="s">
        <v>95</v>
      </c>
      <c r="B15" s="21">
        <v>-316</v>
      </c>
      <c r="C15" s="21">
        <v>81</v>
      </c>
      <c r="D15" s="21">
        <v>-246</v>
      </c>
      <c r="E15" s="21">
        <v>-29</v>
      </c>
      <c r="F15" s="21">
        <v>441</v>
      </c>
      <c r="G15" s="21">
        <v>796</v>
      </c>
      <c r="H15" s="21">
        <v>-554</v>
      </c>
      <c r="I15" s="21">
        <v>-310</v>
      </c>
      <c r="J15" s="21">
        <v>-8148</v>
      </c>
      <c r="K15" s="21">
        <v>-5876</v>
      </c>
      <c r="L15" s="21">
        <v>-4383</v>
      </c>
    </row>
    <row r="16" spans="1:12" ht="15" customHeight="1" outlineLevel="2" x14ac:dyDescent="0.25">
      <c r="A16" s="20" t="s">
        <v>94</v>
      </c>
      <c r="B16" s="7">
        <v>-316</v>
      </c>
      <c r="C16" s="6">
        <v>81</v>
      </c>
      <c r="D16" s="7">
        <v>-246</v>
      </c>
      <c r="E16" s="7">
        <v>-29</v>
      </c>
      <c r="F16" s="6">
        <v>441</v>
      </c>
      <c r="G16" s="6">
        <v>796</v>
      </c>
      <c r="H16" s="7">
        <v>-554</v>
      </c>
      <c r="I16" s="7">
        <v>-310</v>
      </c>
      <c r="J16" s="7">
        <v>-8148</v>
      </c>
      <c r="K16" s="7">
        <v>-5876</v>
      </c>
      <c r="L16" s="7">
        <v>-4383</v>
      </c>
    </row>
    <row r="17" spans="1:12" ht="15" customHeight="1" outlineLevel="1" x14ac:dyDescent="0.25">
      <c r="A17" s="24" t="s">
        <v>69</v>
      </c>
      <c r="B17" s="11">
        <v>2238</v>
      </c>
      <c r="C17" s="11">
        <v>3040</v>
      </c>
      <c r="D17" s="11">
        <v>2920</v>
      </c>
      <c r="E17" s="11">
        <v>4670</v>
      </c>
      <c r="F17" s="11">
        <v>5911</v>
      </c>
      <c r="G17" s="11">
        <v>6779</v>
      </c>
      <c r="H17" s="11">
        <v>6555</v>
      </c>
      <c r="I17" s="9">
        <v>-1412</v>
      </c>
      <c r="J17" s="11">
        <v>36587</v>
      </c>
      <c r="K17" s="11">
        <v>23275</v>
      </c>
      <c r="L17" s="11">
        <v>25141</v>
      </c>
    </row>
    <row r="18" spans="1:12" ht="15" customHeight="1" outlineLevel="1" x14ac:dyDescent="0.25">
      <c r="A18" s="23" t="s">
        <v>93</v>
      </c>
      <c r="B18" s="6">
        <v>5868</v>
      </c>
      <c r="C18" s="6">
        <v>9363</v>
      </c>
      <c r="D18" s="6">
        <v>12527</v>
      </c>
      <c r="E18" s="6">
        <v>18607</v>
      </c>
      <c r="F18" s="6">
        <v>31766</v>
      </c>
      <c r="G18" s="6">
        <v>40952</v>
      </c>
      <c r="H18" s="6">
        <v>52583</v>
      </c>
      <c r="I18" s="6">
        <v>65938</v>
      </c>
      <c r="J18" s="6">
        <v>67638</v>
      </c>
      <c r="K18" s="6">
        <v>96487</v>
      </c>
      <c r="L18" s="6">
        <v>114850</v>
      </c>
    </row>
    <row r="19" spans="1:12" ht="15" customHeight="1" outlineLevel="1" x14ac:dyDescent="0.25">
      <c r="A19" s="22" t="s">
        <v>92</v>
      </c>
      <c r="B19" s="21">
        <v>974</v>
      </c>
      <c r="C19" s="21">
        <v>2557</v>
      </c>
      <c r="D19" s="21">
        <v>3916</v>
      </c>
      <c r="E19" s="21">
        <v>-173</v>
      </c>
      <c r="F19" s="21">
        <v>-1043</v>
      </c>
      <c r="G19" s="21">
        <v>-2438</v>
      </c>
      <c r="H19" s="21">
        <v>13481</v>
      </c>
      <c r="I19" s="21">
        <v>-19611</v>
      </c>
      <c r="J19" s="21">
        <v>-20886</v>
      </c>
      <c r="K19" s="21">
        <v>-11541</v>
      </c>
      <c r="L19" s="21">
        <v>-6898</v>
      </c>
    </row>
    <row r="20" spans="1:12" ht="15" customHeight="1" outlineLevel="2" x14ac:dyDescent="0.25">
      <c r="A20" s="20" t="s">
        <v>91</v>
      </c>
      <c r="B20" s="7">
        <v>-1039</v>
      </c>
      <c r="C20" s="7">
        <v>-1755</v>
      </c>
      <c r="D20" s="7">
        <v>-3367</v>
      </c>
      <c r="E20" s="7">
        <v>-4786</v>
      </c>
      <c r="F20" s="7">
        <v>-4615</v>
      </c>
      <c r="G20" s="7">
        <v>-7681</v>
      </c>
      <c r="H20" s="7">
        <v>-8169</v>
      </c>
      <c r="I20" s="7">
        <v>-18163</v>
      </c>
      <c r="J20" s="7">
        <v>-21897</v>
      </c>
      <c r="K20" s="7">
        <v>-8348</v>
      </c>
      <c r="L20" s="7">
        <v>-3227</v>
      </c>
    </row>
    <row r="21" spans="1:12" ht="15" customHeight="1" outlineLevel="2" x14ac:dyDescent="0.25">
      <c r="A21" s="19" t="s">
        <v>90</v>
      </c>
      <c r="B21" s="9">
        <v>-1193</v>
      </c>
      <c r="C21" s="9">
        <v>-2187</v>
      </c>
      <c r="D21" s="9">
        <v>-1426</v>
      </c>
      <c r="E21" s="9">
        <v>-3583</v>
      </c>
      <c r="F21" s="9">
        <v>-1314</v>
      </c>
      <c r="G21" s="9">
        <v>-3278</v>
      </c>
      <c r="H21" s="9">
        <v>-2849</v>
      </c>
      <c r="I21" s="9">
        <v>-9487</v>
      </c>
      <c r="J21" s="9">
        <v>-2592</v>
      </c>
      <c r="K21" s="11">
        <v>1449</v>
      </c>
      <c r="L21" s="11">
        <v>2142</v>
      </c>
    </row>
    <row r="22" spans="1:12" ht="15" customHeight="1" outlineLevel="2" x14ac:dyDescent="0.25">
      <c r="A22" s="20" t="s">
        <v>89</v>
      </c>
      <c r="B22" s="6">
        <v>1759</v>
      </c>
      <c r="C22" s="6">
        <v>4294</v>
      </c>
      <c r="D22" s="6">
        <v>5030</v>
      </c>
      <c r="E22" s="6">
        <v>7175</v>
      </c>
      <c r="F22" s="6">
        <v>3263</v>
      </c>
      <c r="G22" s="6">
        <v>8193</v>
      </c>
      <c r="H22" s="6">
        <v>17480</v>
      </c>
      <c r="I22" s="6">
        <v>3602</v>
      </c>
      <c r="J22" s="6">
        <v>2945</v>
      </c>
      <c r="K22" s="6">
        <v>5473</v>
      </c>
      <c r="L22" s="6">
        <v>8431</v>
      </c>
    </row>
    <row r="23" spans="1:12" ht="15" customHeight="1" outlineLevel="2" x14ac:dyDescent="0.25">
      <c r="A23" s="19" t="s">
        <v>88</v>
      </c>
      <c r="B23" s="11">
        <v>706</v>
      </c>
      <c r="C23" s="11">
        <v>913</v>
      </c>
      <c r="D23" s="11">
        <v>1724</v>
      </c>
      <c r="E23" s="11">
        <v>283</v>
      </c>
      <c r="F23" s="11">
        <v>472</v>
      </c>
      <c r="G23" s="9">
        <v>-1383</v>
      </c>
      <c r="H23" s="11">
        <v>5754</v>
      </c>
      <c r="I23" s="11">
        <v>2123</v>
      </c>
      <c r="J23" s="9">
        <v>-1558</v>
      </c>
      <c r="K23" s="9">
        <v>-2428</v>
      </c>
      <c r="L23" s="9">
        <v>-1802</v>
      </c>
    </row>
    <row r="24" spans="1:12" ht="15" customHeight="1" outlineLevel="2" x14ac:dyDescent="0.25">
      <c r="A24" s="20" t="s">
        <v>87</v>
      </c>
      <c r="B24" s="6">
        <v>741</v>
      </c>
      <c r="C24" s="6">
        <v>1292</v>
      </c>
      <c r="D24" s="6">
        <v>1955</v>
      </c>
      <c r="E24" s="6">
        <v>738</v>
      </c>
      <c r="F24" s="6">
        <v>1151</v>
      </c>
      <c r="G24" s="6">
        <v>1711</v>
      </c>
      <c r="H24" s="6">
        <v>1265</v>
      </c>
      <c r="I24" s="6">
        <v>2314</v>
      </c>
      <c r="J24" s="6">
        <v>2216</v>
      </c>
      <c r="K24" s="7">
        <v>-7687</v>
      </c>
      <c r="L24" s="7">
        <v>-12442</v>
      </c>
    </row>
    <row r="25" spans="1:12" ht="15" customHeight="1" outlineLevel="1" x14ac:dyDescent="0.25">
      <c r="A25" s="24" t="s">
        <v>86</v>
      </c>
      <c r="B25" s="11">
        <v>6842</v>
      </c>
      <c r="C25" s="11">
        <v>11920</v>
      </c>
      <c r="D25" s="11">
        <v>16443</v>
      </c>
      <c r="E25" s="11">
        <v>18434</v>
      </c>
      <c r="F25" s="11">
        <v>30723</v>
      </c>
      <c r="G25" s="11">
        <v>38514</v>
      </c>
      <c r="H25" s="11">
        <v>66064</v>
      </c>
      <c r="I25" s="11">
        <v>46327</v>
      </c>
      <c r="J25" s="11">
        <v>46752</v>
      </c>
      <c r="K25" s="11">
        <v>84946</v>
      </c>
      <c r="L25" s="11">
        <v>107952</v>
      </c>
    </row>
    <row r="26" spans="1:12" ht="15" customHeight="1" x14ac:dyDescent="0.25">
      <c r="A26" s="25" t="s">
        <v>85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ht="15" customHeight="1" outlineLevel="1" x14ac:dyDescent="0.25">
      <c r="A27" s="22" t="s">
        <v>10</v>
      </c>
      <c r="B27" s="21">
        <v>-4893</v>
      </c>
      <c r="C27" s="21">
        <v>-4589</v>
      </c>
      <c r="D27" s="21">
        <v>-6737</v>
      </c>
      <c r="E27" s="21">
        <v>-11955</v>
      </c>
      <c r="F27" s="21">
        <v>-13427</v>
      </c>
      <c r="G27" s="21">
        <v>-16861</v>
      </c>
      <c r="H27" s="21">
        <v>-40140</v>
      </c>
      <c r="I27" s="21">
        <v>-61053</v>
      </c>
      <c r="J27" s="21">
        <v>-63645</v>
      </c>
      <c r="K27" s="21">
        <v>-52729</v>
      </c>
      <c r="L27" s="21">
        <v>-59612</v>
      </c>
    </row>
    <row r="28" spans="1:12" ht="15" customHeight="1" outlineLevel="2" x14ac:dyDescent="0.25">
      <c r="A28" s="20" t="s">
        <v>84</v>
      </c>
      <c r="B28" s="7">
        <v>-4893</v>
      </c>
      <c r="C28" s="7">
        <v>-4589</v>
      </c>
      <c r="D28" s="7">
        <v>-6737</v>
      </c>
      <c r="E28" s="7">
        <v>-11955</v>
      </c>
      <c r="F28" s="7">
        <v>-13427</v>
      </c>
      <c r="G28" s="7">
        <v>-16861</v>
      </c>
      <c r="H28" s="7">
        <v>-40140</v>
      </c>
      <c r="I28" s="7">
        <v>-61053</v>
      </c>
      <c r="J28" s="7">
        <v>-63645</v>
      </c>
      <c r="K28" s="7">
        <v>-52729</v>
      </c>
      <c r="L28" s="7">
        <v>-59612</v>
      </c>
    </row>
    <row r="29" spans="1:12" ht="15" customHeight="1" outlineLevel="1" x14ac:dyDescent="0.25">
      <c r="A29" s="24" t="s">
        <v>83</v>
      </c>
      <c r="B29" s="9">
        <v>-979</v>
      </c>
      <c r="C29" s="9">
        <v>-795</v>
      </c>
      <c r="D29" s="9">
        <v>-116</v>
      </c>
      <c r="E29" s="9">
        <v>-13972</v>
      </c>
      <c r="F29" s="9">
        <v>-2186</v>
      </c>
      <c r="G29" s="9">
        <v>-2461</v>
      </c>
      <c r="H29" s="9">
        <v>-2325</v>
      </c>
      <c r="I29" s="9">
        <v>-1985</v>
      </c>
      <c r="J29" s="9">
        <v>-8316</v>
      </c>
      <c r="K29" s="9">
        <v>-5839</v>
      </c>
      <c r="L29" s="9">
        <v>-5935</v>
      </c>
    </row>
    <row r="30" spans="1:12" ht="15" customHeight="1" outlineLevel="1" x14ac:dyDescent="0.25">
      <c r="A30" s="23" t="s">
        <v>82</v>
      </c>
      <c r="B30" s="6">
        <v>0</v>
      </c>
      <c r="C30" s="6">
        <v>0</v>
      </c>
      <c r="D30" s="6">
        <v>0</v>
      </c>
      <c r="E30" s="6">
        <v>1897</v>
      </c>
      <c r="F30" s="6">
        <v>2104</v>
      </c>
      <c r="G30" s="6">
        <v>4172</v>
      </c>
      <c r="H30" s="6">
        <v>5096</v>
      </c>
      <c r="I30" s="6">
        <v>5657</v>
      </c>
      <c r="J30" s="6">
        <v>5324</v>
      </c>
      <c r="K30" s="6">
        <v>4596</v>
      </c>
      <c r="L30" s="6">
        <v>4633</v>
      </c>
    </row>
    <row r="31" spans="1:12" ht="15" customHeight="1" outlineLevel="1" x14ac:dyDescent="0.25">
      <c r="A31" s="22" t="s">
        <v>81</v>
      </c>
      <c r="B31" s="21">
        <v>807</v>
      </c>
      <c r="C31" s="21">
        <v>-1066</v>
      </c>
      <c r="D31" s="21">
        <v>-3023</v>
      </c>
      <c r="E31" s="21">
        <v>-3789</v>
      </c>
      <c r="F31" s="21">
        <v>1140</v>
      </c>
      <c r="G31" s="21">
        <v>-9131</v>
      </c>
      <c r="H31" s="21">
        <v>-22242</v>
      </c>
      <c r="I31" s="21">
        <v>-773</v>
      </c>
      <c r="J31" s="21">
        <v>29036</v>
      </c>
      <c r="K31" s="21">
        <v>4139</v>
      </c>
      <c r="L31" s="21">
        <v>-3440</v>
      </c>
    </row>
    <row r="32" spans="1:12" ht="15" customHeight="1" outlineLevel="2" x14ac:dyDescent="0.25">
      <c r="A32" s="20" t="s">
        <v>80</v>
      </c>
      <c r="B32" s="6">
        <v>2542</v>
      </c>
      <c r="C32" s="6">
        <v>4091</v>
      </c>
      <c r="D32" s="6">
        <v>7756</v>
      </c>
      <c r="E32" s="6">
        <v>13777</v>
      </c>
      <c r="F32" s="6">
        <v>7100</v>
      </c>
      <c r="G32" s="6">
        <v>31812</v>
      </c>
      <c r="H32" s="6">
        <v>72479</v>
      </c>
      <c r="I32" s="6">
        <v>60157</v>
      </c>
      <c r="J32" s="6">
        <v>2565</v>
      </c>
      <c r="K32" s="6">
        <v>1488</v>
      </c>
      <c r="L32" s="6">
        <v>11058</v>
      </c>
    </row>
    <row r="33" spans="1:12" ht="15" customHeight="1" outlineLevel="2" x14ac:dyDescent="0.25">
      <c r="A33" s="19" t="s">
        <v>79</v>
      </c>
      <c r="B33" s="11">
        <v>3349</v>
      </c>
      <c r="C33" s="11">
        <v>3025</v>
      </c>
      <c r="D33" s="11">
        <v>4733</v>
      </c>
      <c r="E33" s="11">
        <v>9988</v>
      </c>
      <c r="F33" s="11">
        <v>8240</v>
      </c>
      <c r="G33" s="11">
        <v>22681</v>
      </c>
      <c r="H33" s="11">
        <v>50237</v>
      </c>
      <c r="I33" s="11">
        <v>59384</v>
      </c>
      <c r="J33" s="11">
        <v>31601</v>
      </c>
      <c r="K33" s="11">
        <v>5627</v>
      </c>
      <c r="L33" s="11">
        <v>7618</v>
      </c>
    </row>
    <row r="34" spans="1:12" ht="15" customHeight="1" outlineLevel="1" x14ac:dyDescent="0.25">
      <c r="A34" s="23" t="s">
        <v>78</v>
      </c>
      <c r="B34" s="7">
        <v>-5065</v>
      </c>
      <c r="C34" s="7">
        <v>-6450</v>
      </c>
      <c r="D34" s="7">
        <v>-9876</v>
      </c>
      <c r="E34" s="7">
        <v>-27819</v>
      </c>
      <c r="F34" s="7">
        <v>-12369</v>
      </c>
      <c r="G34" s="7">
        <v>-24281</v>
      </c>
      <c r="H34" s="7">
        <v>-59611</v>
      </c>
      <c r="I34" s="7">
        <v>-58154</v>
      </c>
      <c r="J34" s="7">
        <v>-37601</v>
      </c>
      <c r="K34" s="7">
        <v>-49833</v>
      </c>
      <c r="L34" s="7">
        <v>-64354</v>
      </c>
    </row>
    <row r="35" spans="1:12" ht="15" customHeight="1" x14ac:dyDescent="0.25">
      <c r="A35" s="31" t="s">
        <v>77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2" ht="15" customHeight="1" outlineLevel="1" x14ac:dyDescent="0.25">
      <c r="A36" s="30" t="s">
        <v>76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-6000</v>
      </c>
      <c r="K36" s="28">
        <v>0</v>
      </c>
      <c r="L36" s="28">
        <v>0</v>
      </c>
    </row>
    <row r="37" spans="1:12" ht="15" customHeight="1" outlineLevel="2" x14ac:dyDescent="0.25">
      <c r="A37" s="19" t="s">
        <v>75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9">
        <v>-6000</v>
      </c>
      <c r="K37" s="11">
        <v>0</v>
      </c>
      <c r="L37" s="11">
        <v>0</v>
      </c>
    </row>
    <row r="38" spans="1:12" ht="15" customHeight="1" outlineLevel="1" x14ac:dyDescent="0.25">
      <c r="A38" s="30" t="s">
        <v>74</v>
      </c>
      <c r="B38" s="28">
        <v>4426</v>
      </c>
      <c r="C38" s="28">
        <v>-3882</v>
      </c>
      <c r="D38" s="28">
        <v>-3740</v>
      </c>
      <c r="E38" s="28">
        <v>9860</v>
      </c>
      <c r="F38" s="28">
        <v>-7686</v>
      </c>
      <c r="G38" s="28">
        <v>-10066</v>
      </c>
      <c r="H38" s="28">
        <v>-1104</v>
      </c>
      <c r="I38" s="28">
        <v>6291</v>
      </c>
      <c r="J38" s="28">
        <v>15718</v>
      </c>
      <c r="K38" s="28">
        <v>-15879</v>
      </c>
      <c r="L38" s="28">
        <v>-21440</v>
      </c>
    </row>
    <row r="39" spans="1:12" ht="15" customHeight="1" outlineLevel="2" x14ac:dyDescent="0.25">
      <c r="A39" s="19" t="s">
        <v>73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619</v>
      </c>
      <c r="I39" s="11">
        <v>203</v>
      </c>
      <c r="J39" s="11">
        <v>3999</v>
      </c>
      <c r="K39" s="9">
        <v>-7548</v>
      </c>
      <c r="L39" s="9">
        <v>-13253</v>
      </c>
    </row>
    <row r="40" spans="1:12" ht="15" customHeight="1" outlineLevel="2" x14ac:dyDescent="0.25">
      <c r="A40" s="29" t="s">
        <v>72</v>
      </c>
      <c r="B40" s="28">
        <v>4426</v>
      </c>
      <c r="C40" s="28">
        <v>-3882</v>
      </c>
      <c r="D40" s="28">
        <v>-3740</v>
      </c>
      <c r="E40" s="28">
        <v>9860</v>
      </c>
      <c r="F40" s="28">
        <v>-7686</v>
      </c>
      <c r="G40" s="28">
        <v>-10066</v>
      </c>
      <c r="H40" s="28">
        <v>-1723</v>
      </c>
      <c r="I40" s="28">
        <v>6088</v>
      </c>
      <c r="J40" s="28">
        <v>11719</v>
      </c>
      <c r="K40" s="28">
        <v>-8331</v>
      </c>
      <c r="L40" s="28">
        <v>-8187</v>
      </c>
    </row>
    <row r="41" spans="1:12" ht="15" customHeight="1" outlineLevel="3" x14ac:dyDescent="0.25">
      <c r="A41" s="27" t="s">
        <v>71</v>
      </c>
      <c r="B41" s="11">
        <v>6359</v>
      </c>
      <c r="C41" s="11">
        <v>353</v>
      </c>
      <c r="D41" s="11">
        <v>621</v>
      </c>
      <c r="E41" s="11">
        <v>16231</v>
      </c>
      <c r="F41" s="11">
        <v>768</v>
      </c>
      <c r="G41" s="11">
        <v>2273</v>
      </c>
      <c r="H41" s="11">
        <v>10525</v>
      </c>
      <c r="I41" s="11">
        <v>19003</v>
      </c>
      <c r="J41" s="11">
        <v>21166</v>
      </c>
      <c r="K41" s="11">
        <v>0</v>
      </c>
      <c r="L41" s="11">
        <v>0</v>
      </c>
    </row>
    <row r="42" spans="1:12" ht="15" customHeight="1" outlineLevel="3" x14ac:dyDescent="0.25">
      <c r="A42" s="26" t="s">
        <v>70</v>
      </c>
      <c r="B42" s="7">
        <v>-1933</v>
      </c>
      <c r="C42" s="7">
        <v>-4235</v>
      </c>
      <c r="D42" s="7">
        <v>-4361</v>
      </c>
      <c r="E42" s="7">
        <v>-6371</v>
      </c>
      <c r="F42" s="7">
        <v>-8454</v>
      </c>
      <c r="G42" s="7">
        <v>-12339</v>
      </c>
      <c r="H42" s="7">
        <v>-12248</v>
      </c>
      <c r="I42" s="7">
        <v>-12915</v>
      </c>
      <c r="J42" s="7">
        <v>-9447</v>
      </c>
      <c r="K42" s="7">
        <v>-8331</v>
      </c>
      <c r="L42" s="7">
        <v>-8187</v>
      </c>
    </row>
    <row r="43" spans="1:12" ht="15" customHeight="1" outlineLevel="1" x14ac:dyDescent="0.25">
      <c r="A43" s="22" t="s">
        <v>69</v>
      </c>
      <c r="B43" s="21">
        <v>6</v>
      </c>
      <c r="C43" s="21">
        <v>119</v>
      </c>
      <c r="D43" s="21">
        <v>829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</row>
    <row r="44" spans="1:12" ht="15" customHeight="1" outlineLevel="2" x14ac:dyDescent="0.25">
      <c r="A44" s="20" t="s">
        <v>68</v>
      </c>
      <c r="B44" s="6">
        <v>6</v>
      </c>
      <c r="C44" s="6">
        <v>119</v>
      </c>
      <c r="D44" s="6">
        <v>829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</row>
    <row r="45" spans="1:12" ht="15" customHeight="1" outlineLevel="1" x14ac:dyDescent="0.25">
      <c r="A45" s="24" t="s">
        <v>67</v>
      </c>
      <c r="B45" s="11">
        <v>4432</v>
      </c>
      <c r="C45" s="9">
        <v>-3763</v>
      </c>
      <c r="D45" s="9">
        <v>-2911</v>
      </c>
      <c r="E45" s="11">
        <v>9860</v>
      </c>
      <c r="F45" s="9">
        <v>-7686</v>
      </c>
      <c r="G45" s="9">
        <v>-10066</v>
      </c>
      <c r="H45" s="9">
        <v>-1104</v>
      </c>
      <c r="I45" s="11">
        <v>6291</v>
      </c>
      <c r="J45" s="11">
        <v>9718</v>
      </c>
      <c r="K45" s="9">
        <v>-15879</v>
      </c>
      <c r="L45" s="9">
        <v>-21440</v>
      </c>
    </row>
    <row r="46" spans="1:12" ht="15" customHeight="1" x14ac:dyDescent="0.25">
      <c r="A46" s="25" t="s">
        <v>66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</row>
    <row r="47" spans="1:12" ht="15" customHeight="1" outlineLevel="1" x14ac:dyDescent="0.25">
      <c r="A47" s="24" t="s">
        <v>65</v>
      </c>
      <c r="B47" s="9">
        <v>-310</v>
      </c>
      <c r="C47" s="9">
        <v>-374</v>
      </c>
      <c r="D47" s="9">
        <v>-212</v>
      </c>
      <c r="E47" s="11">
        <v>713</v>
      </c>
      <c r="F47" s="9">
        <v>-351</v>
      </c>
      <c r="G47" s="11">
        <v>70</v>
      </c>
      <c r="H47" s="11">
        <v>618</v>
      </c>
      <c r="I47" s="9">
        <v>-364</v>
      </c>
      <c r="J47" s="9">
        <v>-1093</v>
      </c>
      <c r="K47" s="11">
        <v>403</v>
      </c>
      <c r="L47" s="9">
        <v>-552</v>
      </c>
    </row>
    <row r="48" spans="1:12" ht="15" customHeight="1" outlineLevel="1" x14ac:dyDescent="0.25">
      <c r="A48" s="23" t="s">
        <v>12</v>
      </c>
      <c r="B48" s="6">
        <v>5899</v>
      </c>
      <c r="C48" s="6">
        <v>1333</v>
      </c>
      <c r="D48" s="6">
        <v>3444</v>
      </c>
      <c r="E48" s="6">
        <v>1188</v>
      </c>
      <c r="F48" s="6">
        <v>10317</v>
      </c>
      <c r="G48" s="6">
        <v>4237</v>
      </c>
      <c r="H48" s="6">
        <v>5967</v>
      </c>
      <c r="I48" s="7">
        <v>-5900</v>
      </c>
      <c r="J48" s="6">
        <v>17776</v>
      </c>
      <c r="K48" s="6">
        <v>19637</v>
      </c>
      <c r="L48" s="6">
        <v>21606</v>
      </c>
    </row>
    <row r="49" spans="1:12" ht="15" customHeight="1" outlineLevel="1" x14ac:dyDescent="0.25">
      <c r="A49" s="22" t="s">
        <v>18</v>
      </c>
      <c r="B49" s="21">
        <v>1949</v>
      </c>
      <c r="C49" s="21">
        <v>7331</v>
      </c>
      <c r="D49" s="21">
        <v>9706</v>
      </c>
      <c r="E49" s="21">
        <v>6479</v>
      </c>
      <c r="F49" s="21">
        <v>17296</v>
      </c>
      <c r="G49" s="21">
        <v>21653</v>
      </c>
      <c r="H49" s="21">
        <v>25924</v>
      </c>
      <c r="I49" s="21">
        <v>-14726</v>
      </c>
      <c r="J49" s="21">
        <v>-16893</v>
      </c>
      <c r="K49" s="21">
        <v>32217</v>
      </c>
      <c r="L49" s="21">
        <v>48340</v>
      </c>
    </row>
    <row r="50" spans="1:12" ht="15" customHeight="1" outlineLevel="2" x14ac:dyDescent="0.25">
      <c r="A50" s="20" t="s">
        <v>64</v>
      </c>
      <c r="B50" s="6">
        <v>0.21093100000000001</v>
      </c>
      <c r="C50" s="6">
        <v>0.76844900000000005</v>
      </c>
      <c r="D50" s="6">
        <v>1.002686</v>
      </c>
      <c r="E50" s="6">
        <v>0.65709899999999999</v>
      </c>
      <c r="F50" s="6">
        <v>1.7296</v>
      </c>
      <c r="G50" s="6">
        <v>2.1481150000000002</v>
      </c>
      <c r="H50" s="6">
        <v>2.541569</v>
      </c>
      <c r="I50" s="7">
        <v>-1.4297089999999999</v>
      </c>
      <c r="J50" s="7">
        <v>-1.657964</v>
      </c>
      <c r="K50" s="6">
        <v>3.0706250000000002</v>
      </c>
      <c r="L50" s="6">
        <v>4.5143820000000003</v>
      </c>
    </row>
    <row r="51" spans="1:12" ht="15" customHeight="1" outlineLevel="2" x14ac:dyDescent="0.25">
      <c r="A51" s="19" t="s">
        <v>63</v>
      </c>
      <c r="B51" s="17">
        <v>1.3593090000000001</v>
      </c>
      <c r="C51" s="17">
        <v>2.2738870000000002</v>
      </c>
      <c r="D51" s="17">
        <v>2.674293</v>
      </c>
      <c r="E51" s="17">
        <v>1.123756</v>
      </c>
      <c r="F51" s="17">
        <v>2.3031079999999999</v>
      </c>
      <c r="G51" s="17">
        <v>2.3250009999999999</v>
      </c>
      <c r="H51" s="17">
        <v>1.5607139999999999</v>
      </c>
      <c r="I51" s="18">
        <v>-0.85756600000000005</v>
      </c>
      <c r="J51" s="18">
        <v>-1.973767</v>
      </c>
      <c r="K51" s="17">
        <v>2.0209459999999999</v>
      </c>
      <c r="L51" s="17">
        <v>2.3360319999999999</v>
      </c>
    </row>
    <row r="52" spans="1:12" ht="15" customHeight="1" x14ac:dyDescent="0.25">
      <c r="A52" s="16" t="s">
        <v>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8A46-3D60-4955-90B9-990FD050FC44}">
  <sheetPr>
    <outlinePr summaryBelow="0" summaryRight="0"/>
  </sheetPr>
  <dimension ref="A1:Q10"/>
  <sheetViews>
    <sheetView zoomScale="99" zoomScaleNormal="99" workbookViewId="0">
      <selection activeCell="J27" sqref="J27"/>
    </sheetView>
  </sheetViews>
  <sheetFormatPr defaultColWidth="9.21875" defaultRowHeight="15" customHeight="1" x14ac:dyDescent="0.25"/>
  <cols>
    <col min="1" max="1" width="23.77734375" style="5" customWidth="1"/>
    <col min="2" max="11" width="7.77734375" style="5" customWidth="1"/>
    <col min="12" max="17" width="8.77734375" style="5" customWidth="1"/>
    <col min="18" max="16384" width="9.21875" style="5"/>
  </cols>
  <sheetData>
    <row r="1" spans="1:17" ht="15" customHeight="1" x14ac:dyDescent="0.25">
      <c r="A1" s="13" t="s">
        <v>52</v>
      </c>
    </row>
    <row r="2" spans="1:17" ht="15" customHeight="1" x14ac:dyDescent="0.25">
      <c r="A2" s="5" t="s">
        <v>51</v>
      </c>
    </row>
    <row r="3" spans="1:17" ht="15" customHeight="1" x14ac:dyDescent="0.25">
      <c r="A3" s="12"/>
      <c r="B3" s="12" t="s">
        <v>50</v>
      </c>
      <c r="C3" s="12" t="s">
        <v>49</v>
      </c>
      <c r="D3" s="12" t="s">
        <v>48</v>
      </c>
      <c r="E3" s="12" t="s">
        <v>47</v>
      </c>
      <c r="F3" s="12" t="s">
        <v>46</v>
      </c>
      <c r="G3" s="12" t="s">
        <v>45</v>
      </c>
      <c r="H3" s="12" t="s">
        <v>44</v>
      </c>
      <c r="I3" s="12" t="s">
        <v>43</v>
      </c>
      <c r="J3" s="12" t="s">
        <v>42</v>
      </c>
      <c r="K3" s="12" t="s">
        <v>41</v>
      </c>
      <c r="L3" s="12" t="s">
        <v>40</v>
      </c>
      <c r="M3" s="12" t="s">
        <v>39</v>
      </c>
      <c r="N3" s="12" t="s">
        <v>38</v>
      </c>
      <c r="O3" s="12" t="s">
        <v>37</v>
      </c>
      <c r="P3" s="12" t="s">
        <v>36</v>
      </c>
      <c r="Q3" s="12" t="s">
        <v>35</v>
      </c>
    </row>
    <row r="4" spans="1:17" ht="15" customHeight="1" x14ac:dyDescent="0.25">
      <c r="A4" s="12"/>
      <c r="B4" s="12" t="s">
        <v>34</v>
      </c>
      <c r="C4" s="12" t="s">
        <v>33</v>
      </c>
      <c r="D4" s="12" t="s">
        <v>32</v>
      </c>
      <c r="E4" s="12" t="s">
        <v>31</v>
      </c>
      <c r="F4" s="12" t="s">
        <v>30</v>
      </c>
      <c r="G4" s="12" t="s">
        <v>29</v>
      </c>
      <c r="H4" s="12" t="s">
        <v>28</v>
      </c>
      <c r="I4" s="12" t="s">
        <v>27</v>
      </c>
      <c r="J4" s="12" t="s">
        <v>26</v>
      </c>
      <c r="K4" s="12" t="s">
        <v>25</v>
      </c>
      <c r="L4" s="12" t="s">
        <v>24</v>
      </c>
      <c r="M4" s="12" t="s">
        <v>23</v>
      </c>
      <c r="N4" s="12" t="s">
        <v>22</v>
      </c>
      <c r="O4" s="12" t="s">
        <v>21</v>
      </c>
      <c r="P4" s="12" t="s">
        <v>20</v>
      </c>
      <c r="Q4" s="12" t="s">
        <v>19</v>
      </c>
    </row>
    <row r="5" spans="1:17" ht="15" customHeight="1" x14ac:dyDescent="0.25">
      <c r="A5" s="10" t="s">
        <v>10</v>
      </c>
      <c r="B5" s="11">
        <v>4892</v>
      </c>
      <c r="C5" s="11">
        <v>4588</v>
      </c>
      <c r="D5" s="11">
        <v>6736</v>
      </c>
      <c r="E5" s="11">
        <v>10058</v>
      </c>
      <c r="F5" s="11">
        <v>11322</v>
      </c>
      <c r="G5" s="11">
        <v>12690</v>
      </c>
      <c r="H5" s="11">
        <v>35046</v>
      </c>
      <c r="I5" s="11">
        <v>55396</v>
      </c>
      <c r="J5" s="11">
        <v>58321</v>
      </c>
      <c r="K5" s="11">
        <v>52729</v>
      </c>
      <c r="L5" s="11">
        <v>65971.5</v>
      </c>
      <c r="M5" s="11">
        <v>71754.7</v>
      </c>
      <c r="N5" s="11">
        <v>71087</v>
      </c>
      <c r="O5" s="11">
        <v>80757.5</v>
      </c>
      <c r="P5" s="11">
        <v>84731.5</v>
      </c>
      <c r="Q5" s="11">
        <v>89516</v>
      </c>
    </row>
    <row r="6" spans="1:17" ht="15" customHeight="1" x14ac:dyDescent="0.25">
      <c r="A6" s="8" t="s">
        <v>18</v>
      </c>
      <c r="B6" s="6">
        <v>1949</v>
      </c>
      <c r="C6" s="6">
        <v>7331</v>
      </c>
      <c r="D6" s="6">
        <v>9706</v>
      </c>
      <c r="E6" s="6">
        <v>8377</v>
      </c>
      <c r="F6" s="6">
        <v>19402</v>
      </c>
      <c r="G6" s="6">
        <v>25825</v>
      </c>
      <c r="H6" s="6">
        <v>31018</v>
      </c>
      <c r="I6" s="7">
        <v>-9069</v>
      </c>
      <c r="J6" s="7">
        <v>-11569</v>
      </c>
      <c r="K6" s="6">
        <v>36658</v>
      </c>
      <c r="L6" s="6">
        <v>55427.3</v>
      </c>
      <c r="M6" s="6">
        <v>69788.899999999994</v>
      </c>
      <c r="N6" s="6">
        <v>98528.1</v>
      </c>
      <c r="O6" s="6">
        <v>126711</v>
      </c>
      <c r="P6" s="6">
        <v>149789</v>
      </c>
      <c r="Q6" s="6">
        <v>177525</v>
      </c>
    </row>
    <row r="7" spans="1:17" ht="15" customHeight="1" x14ac:dyDescent="0.25">
      <c r="A7" s="10" t="s">
        <v>17</v>
      </c>
      <c r="B7" s="11">
        <v>449</v>
      </c>
      <c r="C7" s="10" t="s">
        <v>16</v>
      </c>
      <c r="D7" s="10" t="s">
        <v>16</v>
      </c>
      <c r="E7" s="10" t="s">
        <v>16</v>
      </c>
      <c r="F7" s="10" t="s">
        <v>16</v>
      </c>
      <c r="G7" s="10" t="s">
        <v>16</v>
      </c>
      <c r="H7" s="10" t="s">
        <v>16</v>
      </c>
      <c r="I7" s="10" t="s">
        <v>16</v>
      </c>
      <c r="J7" s="10" t="s">
        <v>16</v>
      </c>
      <c r="K7" s="10" t="s">
        <v>16</v>
      </c>
      <c r="L7" s="10" t="s">
        <v>16</v>
      </c>
      <c r="M7" s="10" t="s">
        <v>16</v>
      </c>
      <c r="N7" s="10" t="s">
        <v>16</v>
      </c>
      <c r="O7" s="10" t="s">
        <v>16</v>
      </c>
      <c r="P7" s="10" t="s">
        <v>16</v>
      </c>
      <c r="Q7" s="10" t="s">
        <v>16</v>
      </c>
    </row>
    <row r="8" spans="1:17" ht="15" customHeight="1" x14ac:dyDescent="0.25">
      <c r="A8" s="8" t="s">
        <v>15</v>
      </c>
      <c r="B8" s="6">
        <v>6841</v>
      </c>
      <c r="C8" s="6">
        <v>11920</v>
      </c>
      <c r="D8" s="6">
        <v>16442</v>
      </c>
      <c r="E8" s="6">
        <v>18434</v>
      </c>
      <c r="F8" s="6">
        <v>30724</v>
      </c>
      <c r="G8" s="6">
        <v>38515</v>
      </c>
      <c r="H8" s="6">
        <v>66064</v>
      </c>
      <c r="I8" s="6">
        <v>46327</v>
      </c>
      <c r="J8" s="6">
        <v>46752</v>
      </c>
      <c r="K8" s="6">
        <v>84946</v>
      </c>
      <c r="L8" s="6">
        <v>114364</v>
      </c>
      <c r="M8" s="6">
        <v>142436</v>
      </c>
      <c r="N8" s="6">
        <v>172056</v>
      </c>
      <c r="O8" s="6">
        <v>210079</v>
      </c>
      <c r="P8" s="6">
        <v>244061</v>
      </c>
      <c r="Q8" s="6">
        <v>279962</v>
      </c>
    </row>
    <row r="9" spans="1:17" ht="15" customHeight="1" x14ac:dyDescent="0.25">
      <c r="A9" s="10" t="s">
        <v>14</v>
      </c>
      <c r="B9" s="9">
        <v>-5066</v>
      </c>
      <c r="C9" s="9">
        <v>-6450</v>
      </c>
      <c r="D9" s="9">
        <v>-9876</v>
      </c>
      <c r="E9" s="9">
        <v>-27819</v>
      </c>
      <c r="F9" s="9">
        <v>-12369</v>
      </c>
      <c r="G9" s="9">
        <v>-24282</v>
      </c>
      <c r="H9" s="9">
        <v>-59612</v>
      </c>
      <c r="I9" s="9">
        <v>-58154</v>
      </c>
      <c r="J9" s="9">
        <v>-37601</v>
      </c>
      <c r="K9" s="9">
        <v>-49833</v>
      </c>
      <c r="L9" s="9">
        <v>-70567.5</v>
      </c>
      <c r="M9" s="9">
        <v>-71130.600000000006</v>
      </c>
      <c r="N9" s="9">
        <v>-74942</v>
      </c>
      <c r="O9" s="9">
        <v>-79012.800000000003</v>
      </c>
      <c r="P9" s="9">
        <v>-81779.3</v>
      </c>
      <c r="Q9" s="9">
        <v>-85077.6</v>
      </c>
    </row>
    <row r="10" spans="1:17" ht="15" customHeight="1" x14ac:dyDescent="0.25">
      <c r="A10" s="8" t="s">
        <v>13</v>
      </c>
      <c r="B10" s="6">
        <v>4433</v>
      </c>
      <c r="C10" s="7">
        <v>-3763</v>
      </c>
      <c r="D10" s="7">
        <v>-2911</v>
      </c>
      <c r="E10" s="6">
        <v>9861</v>
      </c>
      <c r="F10" s="7">
        <v>-7687</v>
      </c>
      <c r="G10" s="7">
        <v>-10066</v>
      </c>
      <c r="H10" s="7">
        <v>-1104</v>
      </c>
      <c r="I10" s="6">
        <v>6291</v>
      </c>
      <c r="J10" s="6">
        <v>9718</v>
      </c>
      <c r="K10" s="7">
        <v>-15879</v>
      </c>
      <c r="L10" s="7">
        <v>-7287.05</v>
      </c>
      <c r="M10" s="7">
        <v>-4106.33</v>
      </c>
      <c r="N10" s="7">
        <v>-3515.48</v>
      </c>
      <c r="O10" s="7">
        <v>-4625</v>
      </c>
      <c r="P10" s="7">
        <v>-1125</v>
      </c>
      <c r="Q1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FCFF</vt:lpstr>
      <vt:lpstr>WACC</vt:lpstr>
      <vt:lpstr>DCF</vt:lpstr>
      <vt:lpstr>DATA SOURCE --&gt;</vt:lpstr>
      <vt:lpstr>Segments</vt:lpstr>
      <vt:lpstr>IS</vt:lpstr>
      <vt:lpstr>CFS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Windows User</cp:lastModifiedBy>
  <dcterms:created xsi:type="dcterms:W3CDTF">2024-07-17T20:30:35Z</dcterms:created>
  <dcterms:modified xsi:type="dcterms:W3CDTF">2025-07-04T16:50:05Z</dcterms:modified>
</cp:coreProperties>
</file>