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ruddha\Downloads\"/>
    </mc:Choice>
  </mc:AlternateContent>
  <xr:revisionPtr revIDLastSave="0" documentId="13_ncr:1_{F32191BE-5353-486E-8741-D757BBE8F9CF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Financials" sheetId="8" r:id="rId1"/>
    <sheet name="Historical FS" sheetId="7" r:id="rId2"/>
    <sheet name="Ratio Analysis" sheetId="11" r:id="rId3"/>
    <sheet name="Forecasting" sheetId="12" r:id="rId4"/>
    <sheet name="Peer Analysis" sheetId="13" r:id="rId5"/>
    <sheet name="Data" sheetId="9" r:id="rId6"/>
    <sheet name="Data Sheet" sheetId="6" r:id="rId7"/>
    <sheet name="Cash Flow Data" sheetId="10" r:id="rId8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9" i="7" l="1"/>
  <c r="K99" i="7"/>
  <c r="J99" i="7"/>
  <c r="I99" i="7"/>
  <c r="H99" i="7"/>
  <c r="G99" i="7"/>
  <c r="F99" i="7"/>
  <c r="E99" i="7"/>
  <c r="D99" i="7"/>
  <c r="C99" i="7"/>
  <c r="L98" i="7"/>
  <c r="K98" i="7"/>
  <c r="J98" i="7"/>
  <c r="I98" i="7"/>
  <c r="H98" i="7"/>
  <c r="G98" i="7"/>
  <c r="F98" i="7"/>
  <c r="E98" i="7"/>
  <c r="D98" i="7"/>
  <c r="C98" i="7"/>
  <c r="L97" i="7"/>
  <c r="K97" i="7"/>
  <c r="J97" i="7"/>
  <c r="I97" i="7"/>
  <c r="H97" i="7"/>
  <c r="G97" i="7"/>
  <c r="F97" i="7"/>
  <c r="E97" i="7"/>
  <c r="D97" i="7"/>
  <c r="C97" i="7"/>
  <c r="L96" i="7"/>
  <c r="K96" i="7"/>
  <c r="J96" i="7"/>
  <c r="I96" i="7"/>
  <c r="H96" i="7"/>
  <c r="G96" i="7"/>
  <c r="F96" i="7"/>
  <c r="E96" i="7"/>
  <c r="D96" i="7"/>
  <c r="C96" i="7"/>
  <c r="L95" i="7"/>
  <c r="K95" i="7"/>
  <c r="J95" i="7"/>
  <c r="I95" i="7"/>
  <c r="H95" i="7"/>
  <c r="G95" i="7"/>
  <c r="F95" i="7"/>
  <c r="E95" i="7"/>
  <c r="D95" i="7"/>
  <c r="C95" i="7"/>
  <c r="L94" i="7"/>
  <c r="K94" i="7"/>
  <c r="J94" i="7"/>
  <c r="I94" i="7"/>
  <c r="H94" i="7"/>
  <c r="G94" i="7"/>
  <c r="F94" i="7"/>
  <c r="E94" i="7"/>
  <c r="D94" i="7"/>
  <c r="C94" i="7"/>
  <c r="L90" i="7"/>
  <c r="K90" i="7"/>
  <c r="J90" i="7"/>
  <c r="I90" i="7"/>
  <c r="H90" i="7"/>
  <c r="G90" i="7"/>
  <c r="F90" i="7"/>
  <c r="E90" i="7"/>
  <c r="D90" i="7"/>
  <c r="C90" i="7"/>
  <c r="L89" i="7"/>
  <c r="K89" i="7"/>
  <c r="J89" i="7"/>
  <c r="I89" i="7"/>
  <c r="H89" i="7"/>
  <c r="G89" i="7"/>
  <c r="F89" i="7"/>
  <c r="E89" i="7"/>
  <c r="D89" i="7"/>
  <c r="C89" i="7"/>
  <c r="L88" i="7"/>
  <c r="K88" i="7"/>
  <c r="J88" i="7"/>
  <c r="I88" i="7"/>
  <c r="H88" i="7"/>
  <c r="G88" i="7"/>
  <c r="F88" i="7"/>
  <c r="E88" i="7"/>
  <c r="D88" i="7"/>
  <c r="C88" i="7"/>
  <c r="L87" i="7"/>
  <c r="K87" i="7"/>
  <c r="J87" i="7"/>
  <c r="I87" i="7"/>
  <c r="H87" i="7"/>
  <c r="G87" i="7"/>
  <c r="F87" i="7"/>
  <c r="E87" i="7"/>
  <c r="D87" i="7"/>
  <c r="C87" i="7"/>
  <c r="L86" i="7"/>
  <c r="K86" i="7"/>
  <c r="J86" i="7"/>
  <c r="I86" i="7"/>
  <c r="H86" i="7"/>
  <c r="G86" i="7"/>
  <c r="F86" i="7"/>
  <c r="E86" i="7"/>
  <c r="D86" i="7"/>
  <c r="C86" i="7"/>
  <c r="L85" i="7"/>
  <c r="K85" i="7"/>
  <c r="J85" i="7"/>
  <c r="I85" i="7"/>
  <c r="H85" i="7"/>
  <c r="G85" i="7"/>
  <c r="F85" i="7"/>
  <c r="E85" i="7"/>
  <c r="D85" i="7"/>
  <c r="C85" i="7"/>
  <c r="L84" i="7"/>
  <c r="K84" i="7"/>
  <c r="J84" i="7"/>
  <c r="I84" i="7"/>
  <c r="H84" i="7"/>
  <c r="G84" i="7"/>
  <c r="F84" i="7"/>
  <c r="E84" i="7"/>
  <c r="D84" i="7"/>
  <c r="C84" i="7"/>
  <c r="L83" i="7"/>
  <c r="K83" i="7"/>
  <c r="J83" i="7"/>
  <c r="I83" i="7"/>
  <c r="H83" i="7"/>
  <c r="G83" i="7"/>
  <c r="F83" i="7"/>
  <c r="E83" i="7"/>
  <c r="D83" i="7"/>
  <c r="C83" i="7"/>
  <c r="L82" i="7"/>
  <c r="K82" i="7"/>
  <c r="J82" i="7"/>
  <c r="I82" i="7"/>
  <c r="H82" i="7"/>
  <c r="G82" i="7"/>
  <c r="F82" i="7"/>
  <c r="E82" i="7"/>
  <c r="D82" i="7"/>
  <c r="C82" i="7"/>
  <c r="L81" i="7"/>
  <c r="K81" i="7"/>
  <c r="J81" i="7"/>
  <c r="I81" i="7"/>
  <c r="H81" i="7"/>
  <c r="G81" i="7"/>
  <c r="F81" i="7"/>
  <c r="E81" i="7"/>
  <c r="D81" i="7"/>
  <c r="C81" i="7"/>
  <c r="L77" i="7"/>
  <c r="K77" i="7"/>
  <c r="J77" i="7"/>
  <c r="I77" i="7"/>
  <c r="H77" i="7"/>
  <c r="G77" i="7"/>
  <c r="F77" i="7"/>
  <c r="E77" i="7"/>
  <c r="D77" i="7"/>
  <c r="C77" i="7"/>
  <c r="L76" i="7"/>
  <c r="K76" i="7"/>
  <c r="J76" i="7"/>
  <c r="I76" i="7"/>
  <c r="H76" i="7"/>
  <c r="G76" i="7"/>
  <c r="F76" i="7"/>
  <c r="E76" i="7"/>
  <c r="D76" i="7"/>
  <c r="C76" i="7"/>
  <c r="L75" i="7"/>
  <c r="K75" i="7"/>
  <c r="J75" i="7"/>
  <c r="I75" i="7"/>
  <c r="H75" i="7"/>
  <c r="G75" i="7"/>
  <c r="F75" i="7"/>
  <c r="E75" i="7"/>
  <c r="D75" i="7"/>
  <c r="C75" i="7"/>
  <c r="L74" i="7"/>
  <c r="K74" i="7"/>
  <c r="J74" i="7"/>
  <c r="I74" i="7"/>
  <c r="H74" i="7"/>
  <c r="G74" i="7"/>
  <c r="F74" i="7"/>
  <c r="E74" i="7"/>
  <c r="D74" i="7"/>
  <c r="C74" i="7"/>
  <c r="L73" i="7"/>
  <c r="K73" i="7"/>
  <c r="J73" i="7"/>
  <c r="I73" i="7"/>
  <c r="H73" i="7"/>
  <c r="G73" i="7"/>
  <c r="F73" i="7"/>
  <c r="E73" i="7"/>
  <c r="D73" i="7"/>
  <c r="C73" i="7"/>
  <c r="L72" i="7"/>
  <c r="K72" i="7"/>
  <c r="J72" i="7"/>
  <c r="I72" i="7"/>
  <c r="H72" i="7"/>
  <c r="G72" i="7"/>
  <c r="F72" i="7"/>
  <c r="E72" i="7"/>
  <c r="D72" i="7"/>
  <c r="C72" i="7"/>
  <c r="L71" i="7"/>
  <c r="K71" i="7"/>
  <c r="J71" i="7"/>
  <c r="I71" i="7"/>
  <c r="H71" i="7"/>
  <c r="G71" i="7"/>
  <c r="F71" i="7"/>
  <c r="E71" i="7"/>
  <c r="D71" i="7"/>
  <c r="C71" i="7"/>
  <c r="L70" i="7"/>
  <c r="K70" i="7"/>
  <c r="J70" i="7"/>
  <c r="I70" i="7"/>
  <c r="H70" i="7"/>
  <c r="G70" i="7"/>
  <c r="F70" i="7"/>
  <c r="E70" i="7"/>
  <c r="D70" i="7"/>
  <c r="C70" i="7"/>
  <c r="D6" i="12" a="1"/>
  <c r="D15" i="12" s="1"/>
  <c r="B5" i="8"/>
  <c r="B6" i="8" s="1"/>
  <c r="B7" i="8" s="1"/>
  <c r="B8" i="8" s="1"/>
  <c r="B9" i="8" s="1"/>
  <c r="B10" i="8" s="1"/>
  <c r="D14" i="12" l="1"/>
  <c r="D7" i="12"/>
  <c r="D8" i="12"/>
  <c r="E8" i="12" s="1"/>
  <c r="D11" i="12"/>
  <c r="E11" i="12" s="1"/>
  <c r="D6" i="12"/>
  <c r="D13" i="12"/>
  <c r="D9" i="12"/>
  <c r="D10" i="12"/>
  <c r="E10" i="12" s="1"/>
  <c r="D12" i="12"/>
  <c r="E15" i="12"/>
  <c r="E12" i="12"/>
  <c r="L4" i="12"/>
  <c r="L7" i="12"/>
  <c r="L8" i="12" s="1"/>
  <c r="L9" i="12" s="1"/>
  <c r="L10" i="12" s="1"/>
  <c r="L11" i="12" s="1"/>
  <c r="L12" i="12" s="1"/>
  <c r="L13" i="12" s="1"/>
  <c r="L14" i="12" s="1"/>
  <c r="L15" i="12" s="1"/>
  <c r="L16" i="12" s="1"/>
  <c r="M6" i="12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G4" i="12"/>
  <c r="G7" i="12"/>
  <c r="G8" i="12" s="1"/>
  <c r="G9" i="12" s="1"/>
  <c r="G10" i="12" s="1"/>
  <c r="G11" i="12" s="1"/>
  <c r="G12" i="12" s="1"/>
  <c r="G13" i="12" s="1"/>
  <c r="G14" i="12" s="1"/>
  <c r="G15" i="12" s="1"/>
  <c r="G16" i="12" s="1"/>
  <c r="H6" i="12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C6" i="12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B4" i="12"/>
  <c r="B7" i="12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E14" i="12" l="1"/>
  <c r="E9" i="12"/>
  <c r="E13" i="12"/>
  <c r="L17" i="12"/>
  <c r="G17" i="12"/>
  <c r="E7" i="12"/>
  <c r="D19" i="12" l="1"/>
  <c r="D17" i="12"/>
  <c r="D18" i="12"/>
  <c r="D20" i="12"/>
  <c r="D16" i="12"/>
  <c r="E16" i="12" s="1"/>
  <c r="L18" i="12"/>
  <c r="G18" i="12"/>
  <c r="E18" i="12" l="1"/>
  <c r="E19" i="12"/>
  <c r="E20" i="12"/>
  <c r="E17" i="12"/>
  <c r="L19" i="12"/>
  <c r="G19" i="12"/>
  <c r="L20" i="12" l="1"/>
  <c r="G20" i="12"/>
  <c r="L3" i="11" l="1"/>
  <c r="B2" i="11"/>
  <c r="K3" i="11"/>
  <c r="J3" i="11"/>
  <c r="I3" i="11"/>
  <c r="H3" i="11"/>
  <c r="G3" i="11"/>
  <c r="F3" i="11"/>
  <c r="E3" i="11"/>
  <c r="D3" i="11"/>
  <c r="C3" i="11"/>
  <c r="L109" i="7"/>
  <c r="K109" i="7"/>
  <c r="J109" i="7"/>
  <c r="I109" i="7"/>
  <c r="H109" i="7"/>
  <c r="G109" i="7"/>
  <c r="F109" i="7"/>
  <c r="E109" i="7"/>
  <c r="D109" i="7"/>
  <c r="C109" i="7"/>
  <c r="L108" i="7"/>
  <c r="K108" i="7"/>
  <c r="J108" i="7"/>
  <c r="I108" i="7"/>
  <c r="H108" i="7"/>
  <c r="G108" i="7"/>
  <c r="F108" i="7"/>
  <c r="E108" i="7"/>
  <c r="D108" i="7"/>
  <c r="C108" i="7"/>
  <c r="L107" i="7"/>
  <c r="K107" i="7"/>
  <c r="J107" i="7"/>
  <c r="I107" i="7"/>
  <c r="H107" i="7"/>
  <c r="G107" i="7"/>
  <c r="F107" i="7"/>
  <c r="E107" i="7"/>
  <c r="D107" i="7"/>
  <c r="C107" i="7"/>
  <c r="L106" i="7"/>
  <c r="K106" i="7"/>
  <c r="J106" i="7"/>
  <c r="I106" i="7"/>
  <c r="H106" i="7"/>
  <c r="G106" i="7"/>
  <c r="F106" i="7"/>
  <c r="E106" i="7"/>
  <c r="D106" i="7"/>
  <c r="C106" i="7"/>
  <c r="L56" i="7"/>
  <c r="K56" i="7"/>
  <c r="J56" i="7"/>
  <c r="I56" i="7"/>
  <c r="H56" i="7"/>
  <c r="G56" i="7"/>
  <c r="F56" i="7"/>
  <c r="E56" i="7"/>
  <c r="D56" i="7"/>
  <c r="C56" i="7"/>
  <c r="L61" i="7"/>
  <c r="K61" i="7"/>
  <c r="J61" i="7"/>
  <c r="I61" i="7"/>
  <c r="H61" i="7"/>
  <c r="G61" i="7"/>
  <c r="F61" i="7"/>
  <c r="E61" i="7"/>
  <c r="D61" i="7"/>
  <c r="C61" i="7"/>
  <c r="L60" i="7"/>
  <c r="K60" i="7"/>
  <c r="J60" i="7"/>
  <c r="I60" i="7"/>
  <c r="H60" i="7"/>
  <c r="G60" i="7"/>
  <c r="F60" i="7"/>
  <c r="E60" i="7"/>
  <c r="D60" i="7"/>
  <c r="C60" i="7"/>
  <c r="L59" i="7"/>
  <c r="K59" i="7"/>
  <c r="J59" i="7"/>
  <c r="I59" i="7"/>
  <c r="H59" i="7"/>
  <c r="G59" i="7"/>
  <c r="F59" i="7"/>
  <c r="F62" i="7" s="1"/>
  <c r="E59" i="7"/>
  <c r="D59" i="7"/>
  <c r="C59" i="7"/>
  <c r="L55" i="7"/>
  <c r="K55" i="7"/>
  <c r="J55" i="7"/>
  <c r="I55" i="7"/>
  <c r="H55" i="7"/>
  <c r="G55" i="7"/>
  <c r="F55" i="7"/>
  <c r="E55" i="7"/>
  <c r="D55" i="7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C55" i="7"/>
  <c r="C54" i="7"/>
  <c r="C53" i="7"/>
  <c r="L50" i="7"/>
  <c r="K50" i="7"/>
  <c r="J50" i="7"/>
  <c r="I50" i="7"/>
  <c r="H50" i="7"/>
  <c r="G50" i="7"/>
  <c r="F50" i="7"/>
  <c r="E50" i="7"/>
  <c r="D50" i="7"/>
  <c r="C50" i="7"/>
  <c r="L49" i="7"/>
  <c r="K49" i="7"/>
  <c r="K41" i="11" s="1"/>
  <c r="J49" i="7"/>
  <c r="I49" i="7"/>
  <c r="H49" i="7"/>
  <c r="G49" i="7"/>
  <c r="F49" i="7"/>
  <c r="E49" i="7"/>
  <c r="D49" i="7"/>
  <c r="C49" i="7"/>
  <c r="L48" i="7"/>
  <c r="K48" i="7"/>
  <c r="J48" i="7"/>
  <c r="I48" i="7"/>
  <c r="H48" i="7"/>
  <c r="G48" i="7"/>
  <c r="F48" i="7"/>
  <c r="E48" i="7"/>
  <c r="D48" i="7"/>
  <c r="C48" i="7"/>
  <c r="L47" i="7"/>
  <c r="L51" i="7" s="1"/>
  <c r="K47" i="7"/>
  <c r="J47" i="7"/>
  <c r="I47" i="7"/>
  <c r="H47" i="7"/>
  <c r="G47" i="7"/>
  <c r="F47" i="7"/>
  <c r="E47" i="7"/>
  <c r="D47" i="7"/>
  <c r="D51" i="7" s="1"/>
  <c r="C47" i="7"/>
  <c r="F41" i="7"/>
  <c r="L36" i="7"/>
  <c r="L41" i="7" s="1"/>
  <c r="K36" i="7"/>
  <c r="K41" i="7" s="1"/>
  <c r="J36" i="7"/>
  <c r="J41" i="7" s="1"/>
  <c r="I36" i="7"/>
  <c r="I41" i="7" s="1"/>
  <c r="H36" i="7"/>
  <c r="H41" i="7" s="1"/>
  <c r="G36" i="7"/>
  <c r="G41" i="7" s="1"/>
  <c r="F36" i="7"/>
  <c r="E36" i="7"/>
  <c r="E41" i="7" s="1"/>
  <c r="D36" i="7"/>
  <c r="D41" i="7" s="1"/>
  <c r="C36" i="7"/>
  <c r="C41" i="7" s="1"/>
  <c r="K7" i="7"/>
  <c r="K5" i="11" s="1"/>
  <c r="L30" i="7"/>
  <c r="K30" i="7"/>
  <c r="J30" i="7"/>
  <c r="I30" i="7"/>
  <c r="H30" i="7"/>
  <c r="G30" i="7"/>
  <c r="F30" i="7"/>
  <c r="E30" i="7"/>
  <c r="D30" i="7"/>
  <c r="C30" i="7"/>
  <c r="L24" i="7"/>
  <c r="K24" i="7"/>
  <c r="J24" i="7"/>
  <c r="I24" i="7"/>
  <c r="H24" i="7"/>
  <c r="G24" i="7"/>
  <c r="F24" i="7"/>
  <c r="F25" i="7" s="1"/>
  <c r="F18" i="11" s="1"/>
  <c r="E24" i="7"/>
  <c r="D24" i="7"/>
  <c r="C24" i="7"/>
  <c r="L21" i="7"/>
  <c r="K21" i="7"/>
  <c r="J21" i="7"/>
  <c r="I21" i="7"/>
  <c r="I22" i="7" s="1"/>
  <c r="H21" i="7"/>
  <c r="G21" i="7"/>
  <c r="F21" i="7"/>
  <c r="E21" i="7"/>
  <c r="D21" i="7"/>
  <c r="C21" i="7"/>
  <c r="L15" i="7"/>
  <c r="K15" i="7"/>
  <c r="K16" i="7" s="1"/>
  <c r="K17" i="11" s="1"/>
  <c r="J15" i="7"/>
  <c r="I15" i="7"/>
  <c r="H15" i="7"/>
  <c r="G15" i="7"/>
  <c r="F15" i="7"/>
  <c r="E15" i="7"/>
  <c r="D15" i="7"/>
  <c r="C15" i="7"/>
  <c r="C16" i="7" s="1"/>
  <c r="C17" i="11" s="1"/>
  <c r="L9" i="7"/>
  <c r="K9" i="7"/>
  <c r="K10" i="7" s="1"/>
  <c r="J9" i="7"/>
  <c r="I9" i="7"/>
  <c r="H9" i="7"/>
  <c r="G9" i="7"/>
  <c r="F9" i="7"/>
  <c r="E9" i="7"/>
  <c r="E10" i="7" s="1"/>
  <c r="D9" i="7"/>
  <c r="C9" i="7"/>
  <c r="C12" i="7" s="1"/>
  <c r="L6" i="7"/>
  <c r="L31" i="11" s="1"/>
  <c r="K6" i="7"/>
  <c r="J6" i="7"/>
  <c r="J31" i="11" s="1"/>
  <c r="I6" i="7"/>
  <c r="I29" i="11" s="1"/>
  <c r="I36" i="11" s="1"/>
  <c r="H6" i="7"/>
  <c r="G6" i="7"/>
  <c r="G31" i="11" s="1"/>
  <c r="F6" i="7"/>
  <c r="F30" i="11" s="1"/>
  <c r="E6" i="7"/>
  <c r="E31" i="11" s="1"/>
  <c r="D6" i="7"/>
  <c r="D31" i="11" s="1"/>
  <c r="C6" i="7"/>
  <c r="L3" i="7"/>
  <c r="K3" i="7"/>
  <c r="J3" i="7"/>
  <c r="I3" i="7"/>
  <c r="H3" i="7"/>
  <c r="G3" i="7"/>
  <c r="F3" i="7"/>
  <c r="E3" i="7"/>
  <c r="D3" i="7"/>
  <c r="C3" i="7"/>
  <c r="B2" i="7"/>
  <c r="F10" i="7" l="1"/>
  <c r="D16" i="7"/>
  <c r="D17" i="11" s="1"/>
  <c r="L16" i="7"/>
  <c r="L17" i="11" s="1"/>
  <c r="J22" i="7"/>
  <c r="J9" i="11"/>
  <c r="I41" i="11"/>
  <c r="F16" i="7"/>
  <c r="F17" i="11" s="1"/>
  <c r="J25" i="7"/>
  <c r="J18" i="11" s="1"/>
  <c r="J41" i="11"/>
  <c r="C22" i="7"/>
  <c r="K22" i="7"/>
  <c r="C25" i="7"/>
  <c r="C18" i="11" s="1"/>
  <c r="K25" i="7"/>
  <c r="K18" i="11" s="1"/>
  <c r="F9" i="11"/>
  <c r="G57" i="7"/>
  <c r="C62" i="7"/>
  <c r="K62" i="7"/>
  <c r="G62" i="7"/>
  <c r="C41" i="11"/>
  <c r="J10" i="7"/>
  <c r="J51" i="7"/>
  <c r="D41" i="11"/>
  <c r="L41" i="11"/>
  <c r="C18" i="7"/>
  <c r="E62" i="7"/>
  <c r="F31" i="11"/>
  <c r="I9" i="11"/>
  <c r="C19" i="7"/>
  <c r="C12" i="11" s="1"/>
  <c r="H9" i="11"/>
  <c r="E7" i="7"/>
  <c r="E5" i="11" s="1"/>
  <c r="E16" i="7"/>
  <c r="E17" i="11" s="1"/>
  <c r="J57" i="7"/>
  <c r="D10" i="7"/>
  <c r="L10" i="7"/>
  <c r="J7" i="7"/>
  <c r="J5" i="11" s="1"/>
  <c r="F51" i="7"/>
  <c r="H41" i="11"/>
  <c r="D39" i="11"/>
  <c r="E39" i="11"/>
  <c r="L7" i="7"/>
  <c r="L5" i="11" s="1"/>
  <c r="H51" i="7"/>
  <c r="D57" i="7"/>
  <c r="I62" i="7"/>
  <c r="I57" i="7"/>
  <c r="I64" i="7" s="1"/>
  <c r="I66" i="7" s="1"/>
  <c r="C30" i="11"/>
  <c r="L39" i="11"/>
  <c r="H25" i="7"/>
  <c r="H18" i="11" s="1"/>
  <c r="D12" i="7"/>
  <c r="D13" i="7" s="1"/>
  <c r="D11" i="11" s="1"/>
  <c r="E22" i="7"/>
  <c r="J12" i="7"/>
  <c r="J13" i="7" s="1"/>
  <c r="J11" i="11" s="1"/>
  <c r="F22" i="7"/>
  <c r="D25" i="7"/>
  <c r="D18" i="11" s="1"/>
  <c r="L25" i="7"/>
  <c r="L18" i="11" s="1"/>
  <c r="C10" i="7"/>
  <c r="K28" i="11"/>
  <c r="K35" i="11" s="1"/>
  <c r="F57" i="7"/>
  <c r="F64" i="7" s="1"/>
  <c r="J62" i="7"/>
  <c r="K39" i="11"/>
  <c r="J27" i="11"/>
  <c r="J34" i="11" s="1"/>
  <c r="L22" i="7"/>
  <c r="C57" i="7"/>
  <c r="C64" i="7" s="1"/>
  <c r="C40" i="11" s="1"/>
  <c r="J28" i="11"/>
  <c r="J35" i="11" s="1"/>
  <c r="D22" i="7"/>
  <c r="K12" i="7"/>
  <c r="K13" i="7" s="1"/>
  <c r="K11" i="11" s="1"/>
  <c r="E25" i="7"/>
  <c r="E18" i="11" s="1"/>
  <c r="C29" i="11"/>
  <c r="C36" i="11" s="1"/>
  <c r="L12" i="7"/>
  <c r="L13" i="7" s="1"/>
  <c r="L11" i="11" s="1"/>
  <c r="J16" i="7"/>
  <c r="J17" i="11" s="1"/>
  <c r="H22" i="7"/>
  <c r="C31" i="11"/>
  <c r="K51" i="7"/>
  <c r="I51" i="7"/>
  <c r="H57" i="7"/>
  <c r="H64" i="7" s="1"/>
  <c r="H66" i="7" s="1"/>
  <c r="J29" i="11"/>
  <c r="J36" i="11" s="1"/>
  <c r="H62" i="7"/>
  <c r="H29" i="11"/>
  <c r="H36" i="11" s="1"/>
  <c r="H37" i="11" s="1"/>
  <c r="D7" i="7"/>
  <c r="D5" i="11" s="1"/>
  <c r="J100" i="7"/>
  <c r="J78" i="7"/>
  <c r="C78" i="7"/>
  <c r="K78" i="7"/>
  <c r="D100" i="7"/>
  <c r="L91" i="7"/>
  <c r="E78" i="7"/>
  <c r="F78" i="7"/>
  <c r="H78" i="7"/>
  <c r="I78" i="7"/>
  <c r="J91" i="7"/>
  <c r="C100" i="7"/>
  <c r="K100" i="7"/>
  <c r="D91" i="7"/>
  <c r="F91" i="7"/>
  <c r="L100" i="7"/>
  <c r="E91" i="7"/>
  <c r="G78" i="7"/>
  <c r="C21" i="11"/>
  <c r="G25" i="7"/>
  <c r="G18" i="11" s="1"/>
  <c r="H16" i="7"/>
  <c r="H17" i="11" s="1"/>
  <c r="D9" i="11"/>
  <c r="L9" i="11"/>
  <c r="G51" i="7"/>
  <c r="D62" i="7"/>
  <c r="D27" i="11"/>
  <c r="D34" i="11" s="1"/>
  <c r="L62" i="7"/>
  <c r="L27" i="11"/>
  <c r="L34" i="11" s="1"/>
  <c r="D78" i="7"/>
  <c r="L78" i="7"/>
  <c r="I91" i="7"/>
  <c r="F100" i="7"/>
  <c r="E41" i="11"/>
  <c r="C51" i="7"/>
  <c r="H28" i="11"/>
  <c r="H35" i="11" s="1"/>
  <c r="H27" i="11"/>
  <c r="H34" i="11" s="1"/>
  <c r="H7" i="7"/>
  <c r="H5" i="11" s="1"/>
  <c r="H31" i="11"/>
  <c r="H12" i="7"/>
  <c r="H13" i="7" s="1"/>
  <c r="H11" i="11" s="1"/>
  <c r="E51" i="7"/>
  <c r="G10" i="7"/>
  <c r="E12" i="7"/>
  <c r="E18" i="7" s="1"/>
  <c r="K9" i="11"/>
  <c r="H91" i="7"/>
  <c r="K31" i="11"/>
  <c r="I16" i="7"/>
  <c r="I17" i="11" s="1"/>
  <c r="G22" i="7"/>
  <c r="H10" i="7"/>
  <c r="E9" i="11"/>
  <c r="G9" i="11"/>
  <c r="G100" i="7"/>
  <c r="F41" i="11"/>
  <c r="F39" i="11"/>
  <c r="F40" i="11"/>
  <c r="K27" i="11"/>
  <c r="K34" i="11" s="1"/>
  <c r="I27" i="11"/>
  <c r="I34" i="11" s="1"/>
  <c r="I7" i="7"/>
  <c r="I5" i="11" s="1"/>
  <c r="I12" i="7"/>
  <c r="I18" i="7" s="1"/>
  <c r="I30" i="11"/>
  <c r="I25" i="7"/>
  <c r="I18" i="11" s="1"/>
  <c r="I31" i="11"/>
  <c r="E100" i="7"/>
  <c r="H30" i="11"/>
  <c r="I10" i="7"/>
  <c r="K57" i="7"/>
  <c r="K64" i="7" s="1"/>
  <c r="C91" i="7"/>
  <c r="K91" i="7"/>
  <c r="G91" i="7"/>
  <c r="H100" i="7"/>
  <c r="G41" i="11"/>
  <c r="G39" i="11"/>
  <c r="C13" i="11"/>
  <c r="I28" i="11"/>
  <c r="I35" i="11" s="1"/>
  <c r="G29" i="11"/>
  <c r="G36" i="11" s="1"/>
  <c r="G28" i="11"/>
  <c r="G35" i="11" s="1"/>
  <c r="G16" i="7"/>
  <c r="G17" i="11" s="1"/>
  <c r="G27" i="11"/>
  <c r="G34" i="11" s="1"/>
  <c r="G7" i="7"/>
  <c r="G5" i="11" s="1"/>
  <c r="G12" i="7"/>
  <c r="G13" i="7" s="1"/>
  <c r="G11" i="11" s="1"/>
  <c r="G30" i="11"/>
  <c r="L57" i="7"/>
  <c r="L64" i="7" s="1"/>
  <c r="I100" i="7"/>
  <c r="C25" i="11"/>
  <c r="E27" i="11"/>
  <c r="E34" i="11" s="1"/>
  <c r="D28" i="11"/>
  <c r="D35" i="11" s="1"/>
  <c r="L28" i="11"/>
  <c r="L35" i="11" s="1"/>
  <c r="K29" i="11"/>
  <c r="K36" i="11" s="1"/>
  <c r="J30" i="11"/>
  <c r="F7" i="7"/>
  <c r="F5" i="11" s="1"/>
  <c r="E57" i="7"/>
  <c r="E64" i="7" s="1"/>
  <c r="E66" i="7" s="1"/>
  <c r="F27" i="11"/>
  <c r="F34" i="11" s="1"/>
  <c r="E28" i="11"/>
  <c r="E35" i="11" s="1"/>
  <c r="D29" i="11"/>
  <c r="D36" i="11" s="1"/>
  <c r="L29" i="11"/>
  <c r="L36" i="11" s="1"/>
  <c r="K30" i="11"/>
  <c r="H39" i="11"/>
  <c r="F12" i="7"/>
  <c r="F18" i="7" s="1"/>
  <c r="F27" i="7" s="1"/>
  <c r="C27" i="11"/>
  <c r="F28" i="11"/>
  <c r="F35" i="11" s="1"/>
  <c r="E29" i="11"/>
  <c r="E36" i="11" s="1"/>
  <c r="D30" i="11"/>
  <c r="L30" i="11"/>
  <c r="I39" i="11"/>
  <c r="H40" i="11"/>
  <c r="C28" i="11"/>
  <c r="F29" i="11"/>
  <c r="F36" i="11" s="1"/>
  <c r="E30" i="11"/>
  <c r="C39" i="11"/>
  <c r="J39" i="11"/>
  <c r="G18" i="7"/>
  <c r="C13" i="7"/>
  <c r="C11" i="11" s="1"/>
  <c r="E13" i="7"/>
  <c r="E11" i="11" s="1"/>
  <c r="E27" i="7"/>
  <c r="I27" i="7"/>
  <c r="I31" i="7" s="1"/>
  <c r="C27" i="7"/>
  <c r="C28" i="7" s="1"/>
  <c r="C14" i="11" s="1"/>
  <c r="K18" i="7"/>
  <c r="D18" i="7"/>
  <c r="L18" i="7"/>
  <c r="G64" i="7" l="1"/>
  <c r="G40" i="11" s="1"/>
  <c r="L37" i="11"/>
  <c r="G66" i="7"/>
  <c r="G37" i="11"/>
  <c r="J37" i="11"/>
  <c r="F66" i="7"/>
  <c r="J64" i="7"/>
  <c r="F13" i="7"/>
  <c r="F11" i="11" s="1"/>
  <c r="J18" i="7"/>
  <c r="D64" i="7"/>
  <c r="D66" i="7" s="1"/>
  <c r="I40" i="11"/>
  <c r="F37" i="11"/>
  <c r="N31" i="11"/>
  <c r="N17" i="11"/>
  <c r="N30" i="11"/>
  <c r="D37" i="11"/>
  <c r="N18" i="11"/>
  <c r="N41" i="11"/>
  <c r="O31" i="11"/>
  <c r="E37" i="11"/>
  <c r="K37" i="11"/>
  <c r="O5" i="11"/>
  <c r="N5" i="11"/>
  <c r="J102" i="7"/>
  <c r="E102" i="7"/>
  <c r="C102" i="7"/>
  <c r="L102" i="7"/>
  <c r="H102" i="7"/>
  <c r="K102" i="7"/>
  <c r="F102" i="7"/>
  <c r="D102" i="7"/>
  <c r="G102" i="7"/>
  <c r="D40" i="11"/>
  <c r="G27" i="7"/>
  <c r="G13" i="11"/>
  <c r="G19" i="11" s="1"/>
  <c r="G6" i="11"/>
  <c r="G25" i="11"/>
  <c r="G21" i="11"/>
  <c r="G19" i="7"/>
  <c r="G12" i="11" s="1"/>
  <c r="I25" i="11"/>
  <c r="I21" i="11"/>
  <c r="I19" i="7"/>
  <c r="I12" i="11" s="1"/>
  <c r="I13" i="11"/>
  <c r="I19" i="11" s="1"/>
  <c r="I13" i="7"/>
  <c r="I11" i="11" s="1"/>
  <c r="N11" i="11" s="1"/>
  <c r="E28" i="7"/>
  <c r="E14" i="11" s="1"/>
  <c r="E31" i="7"/>
  <c r="N39" i="11"/>
  <c r="O39" i="11"/>
  <c r="N29" i="11"/>
  <c r="E13" i="11"/>
  <c r="E19" i="11" s="1"/>
  <c r="E6" i="11"/>
  <c r="E19" i="7"/>
  <c r="E12" i="11" s="1"/>
  <c r="E25" i="11"/>
  <c r="E21" i="11"/>
  <c r="O17" i="11"/>
  <c r="L25" i="11"/>
  <c r="L13" i="11"/>
  <c r="L19" i="11" s="1"/>
  <c r="L6" i="11"/>
  <c r="L21" i="11"/>
  <c r="L19" i="7"/>
  <c r="L12" i="11" s="1"/>
  <c r="O11" i="11"/>
  <c r="C34" i="11"/>
  <c r="N27" i="11"/>
  <c r="O27" i="11"/>
  <c r="I37" i="11"/>
  <c r="O18" i="11"/>
  <c r="O30" i="11"/>
  <c r="O29" i="11"/>
  <c r="O9" i="11"/>
  <c r="N9" i="11"/>
  <c r="O41" i="11"/>
  <c r="D25" i="11"/>
  <c r="D21" i="11"/>
  <c r="D13" i="11"/>
  <c r="D19" i="11" s="1"/>
  <c r="D6" i="11"/>
  <c r="D19" i="7"/>
  <c r="D12" i="11" s="1"/>
  <c r="J27" i="7"/>
  <c r="J13" i="11"/>
  <c r="J19" i="11" s="1"/>
  <c r="J21" i="11"/>
  <c r="J25" i="11"/>
  <c r="J19" i="7"/>
  <c r="J12" i="11" s="1"/>
  <c r="J6" i="11"/>
  <c r="C35" i="11"/>
  <c r="N28" i="11"/>
  <c r="O28" i="11"/>
  <c r="F13" i="11"/>
  <c r="F19" i="11" s="1"/>
  <c r="F6" i="11"/>
  <c r="F25" i="11"/>
  <c r="F21" i="11"/>
  <c r="F19" i="7"/>
  <c r="F12" i="11" s="1"/>
  <c r="I102" i="7"/>
  <c r="C19" i="11"/>
  <c r="K66" i="7"/>
  <c r="K40" i="11"/>
  <c r="O36" i="11"/>
  <c r="N36" i="11"/>
  <c r="F7" i="11"/>
  <c r="F31" i="7"/>
  <c r="F28" i="7"/>
  <c r="F14" i="11" s="1"/>
  <c r="C31" i="7"/>
  <c r="I28" i="7"/>
  <c r="I14" i="11" s="1"/>
  <c r="K13" i="11"/>
  <c r="K19" i="11" s="1"/>
  <c r="K6" i="11"/>
  <c r="K25" i="11"/>
  <c r="K19" i="7"/>
  <c r="K12" i="11" s="1"/>
  <c r="K21" i="11"/>
  <c r="H18" i="7"/>
  <c r="I6" i="12" s="1" a="1"/>
  <c r="L66" i="7"/>
  <c r="L40" i="11"/>
  <c r="C66" i="7"/>
  <c r="E40" i="11"/>
  <c r="J33" i="7"/>
  <c r="K27" i="7"/>
  <c r="C33" i="7"/>
  <c r="D27" i="7"/>
  <c r="E7" i="11" s="1"/>
  <c r="E33" i="7"/>
  <c r="G33" i="7"/>
  <c r="I33" i="7"/>
  <c r="L27" i="7"/>
  <c r="F33" i="7"/>
  <c r="I8" i="12" l="1"/>
  <c r="I10" i="12"/>
  <c r="I15" i="12"/>
  <c r="I9" i="12"/>
  <c r="I7" i="12"/>
  <c r="J7" i="12" s="1"/>
  <c r="I14" i="12"/>
  <c r="J14" i="12" s="1"/>
  <c r="I6" i="12"/>
  <c r="I13" i="12"/>
  <c r="I12" i="12"/>
  <c r="I11" i="12"/>
  <c r="J11" i="12" s="1"/>
  <c r="J66" i="7"/>
  <c r="J40" i="11"/>
  <c r="O40" i="11" s="1"/>
  <c r="H25" i="11"/>
  <c r="O25" i="11" s="1"/>
  <c r="H21" i="11"/>
  <c r="O21" i="11" s="1"/>
  <c r="H19" i="7"/>
  <c r="H12" i="11" s="1"/>
  <c r="N12" i="11" s="1"/>
  <c r="H6" i="11"/>
  <c r="H13" i="11"/>
  <c r="K28" i="7"/>
  <c r="K14" i="11" s="1"/>
  <c r="K7" i="11"/>
  <c r="K31" i="7"/>
  <c r="N25" i="11"/>
  <c r="F8" i="11"/>
  <c r="F38" i="7"/>
  <c r="F23" i="11"/>
  <c r="F34" i="7"/>
  <c r="F15" i="11" s="1"/>
  <c r="H27" i="7"/>
  <c r="L28" i="7"/>
  <c r="L14" i="11" s="1"/>
  <c r="L7" i="11"/>
  <c r="L31" i="7"/>
  <c r="J34" i="7"/>
  <c r="J15" i="11" s="1"/>
  <c r="J8" i="11"/>
  <c r="J38" i="7"/>
  <c r="J23" i="11"/>
  <c r="N13" i="11"/>
  <c r="J28" i="7"/>
  <c r="J14" i="11" s="1"/>
  <c r="J7" i="11"/>
  <c r="J31" i="7"/>
  <c r="C23" i="11"/>
  <c r="C38" i="7"/>
  <c r="C34" i="7"/>
  <c r="C15" i="11" s="1"/>
  <c r="I6" i="11"/>
  <c r="I23" i="11"/>
  <c r="I34" i="7"/>
  <c r="I15" i="11" s="1"/>
  <c r="I38" i="7"/>
  <c r="O34" i="11"/>
  <c r="N34" i="11"/>
  <c r="O35" i="11"/>
  <c r="N35" i="11"/>
  <c r="C37" i="11"/>
  <c r="G7" i="11"/>
  <c r="G31" i="7"/>
  <c r="G28" i="7"/>
  <c r="G14" i="11" s="1"/>
  <c r="G8" i="11"/>
  <c r="G38" i="7"/>
  <c r="G23" i="11"/>
  <c r="G34" i="7"/>
  <c r="G15" i="11" s="1"/>
  <c r="E34" i="7"/>
  <c r="E15" i="11" s="1"/>
  <c r="E38" i="7"/>
  <c r="E23" i="11"/>
  <c r="N40" i="11"/>
  <c r="D28" i="7"/>
  <c r="D14" i="11" s="1"/>
  <c r="D7" i="11"/>
  <c r="D31" i="7"/>
  <c r="L33" i="7"/>
  <c r="D33" i="7"/>
  <c r="E8" i="11" s="1"/>
  <c r="K33" i="7"/>
  <c r="O6" i="11" l="1"/>
  <c r="J8" i="12"/>
  <c r="J12" i="12"/>
  <c r="J13" i="12"/>
  <c r="J9" i="12"/>
  <c r="I19" i="12"/>
  <c r="I20" i="12"/>
  <c r="I16" i="12"/>
  <c r="J16" i="12" s="1"/>
  <c r="I17" i="12"/>
  <c r="I18" i="12"/>
  <c r="J15" i="12"/>
  <c r="J10" i="12"/>
  <c r="O12" i="11"/>
  <c r="N6" i="11"/>
  <c r="H19" i="11"/>
  <c r="O13" i="11"/>
  <c r="L34" i="7"/>
  <c r="L15" i="11" s="1"/>
  <c r="L38" i="7"/>
  <c r="L8" i="11"/>
  <c r="L23" i="11"/>
  <c r="E42" i="7"/>
  <c r="E44" i="7" s="1"/>
  <c r="E22" i="11" s="1"/>
  <c r="E24" i="11" s="1"/>
  <c r="J39" i="7"/>
  <c r="J42" i="7"/>
  <c r="J44" i="7" s="1"/>
  <c r="J22" i="11" s="1"/>
  <c r="J24" i="11" s="1"/>
  <c r="C42" i="7"/>
  <c r="C44" i="7" s="1"/>
  <c r="C22" i="11" s="1"/>
  <c r="O37" i="11"/>
  <c r="N37" i="11"/>
  <c r="K34" i="7"/>
  <c r="K15" i="11" s="1"/>
  <c r="K8" i="11"/>
  <c r="K38" i="7"/>
  <c r="K23" i="11"/>
  <c r="I42" i="7"/>
  <c r="I44" i="7" s="1"/>
  <c r="I22" i="11" s="1"/>
  <c r="I24" i="11" s="1"/>
  <c r="H7" i="11"/>
  <c r="H28" i="7"/>
  <c r="H14" i="11" s="1"/>
  <c r="O14" i="11" s="1"/>
  <c r="H31" i="7"/>
  <c r="I7" i="11"/>
  <c r="H33" i="7"/>
  <c r="F39" i="7"/>
  <c r="F42" i="7"/>
  <c r="F44" i="7" s="1"/>
  <c r="F22" i="11" s="1"/>
  <c r="F24" i="11" s="1"/>
  <c r="G39" i="7"/>
  <c r="G42" i="7"/>
  <c r="G44" i="7" s="1"/>
  <c r="G22" i="11" s="1"/>
  <c r="G24" i="11" s="1"/>
  <c r="D38" i="7"/>
  <c r="E39" i="7" s="1"/>
  <c r="D23" i="11"/>
  <c r="D8" i="11"/>
  <c r="D34" i="7"/>
  <c r="D15" i="11" s="1"/>
  <c r="N21" i="11"/>
  <c r="B6" i="6"/>
  <c r="E1" i="6"/>
  <c r="J18" i="12" l="1"/>
  <c r="J19" i="12"/>
  <c r="J17" i="12"/>
  <c r="J20" i="12"/>
  <c r="O7" i="11"/>
  <c r="N7" i="11"/>
  <c r="C24" i="11"/>
  <c r="L39" i="7"/>
  <c r="L42" i="7"/>
  <c r="L44" i="7" s="1"/>
  <c r="L22" i="11" s="1"/>
  <c r="L24" i="11" s="1"/>
  <c r="H34" i="7"/>
  <c r="H15" i="11" s="1"/>
  <c r="N15" i="11" s="1"/>
  <c r="H38" i="7"/>
  <c r="N6" i="12" s="1" a="1"/>
  <c r="H23" i="11"/>
  <c r="N23" i="11" s="1"/>
  <c r="H8" i="11"/>
  <c r="I8" i="11"/>
  <c r="N8" i="11" s="1"/>
  <c r="N14" i="11"/>
  <c r="D39" i="7"/>
  <c r="D42" i="7"/>
  <c r="D44" i="7" s="1"/>
  <c r="D22" i="11" s="1"/>
  <c r="K39" i="7"/>
  <c r="K42" i="7"/>
  <c r="K44" i="7" s="1"/>
  <c r="K22" i="11" s="1"/>
  <c r="K24" i="11" s="1"/>
  <c r="O19" i="11"/>
  <c r="N19" i="11"/>
  <c r="O15" i="11" l="1"/>
  <c r="N7" i="12"/>
  <c r="N12" i="12"/>
  <c r="N15" i="12"/>
  <c r="N11" i="12"/>
  <c r="O11" i="12" s="1"/>
  <c r="N14" i="12"/>
  <c r="N6" i="12"/>
  <c r="N13" i="12"/>
  <c r="O13" i="12" s="1"/>
  <c r="N9" i="12"/>
  <c r="N8" i="12"/>
  <c r="O8" i="12" s="1"/>
  <c r="N10" i="12"/>
  <c r="O23" i="11"/>
  <c r="D24" i="11"/>
  <c r="O8" i="11"/>
  <c r="H39" i="7"/>
  <c r="H42" i="7"/>
  <c r="H44" i="7" s="1"/>
  <c r="H22" i="11" s="1"/>
  <c r="H24" i="11" s="1"/>
  <c r="O24" i="11" s="1"/>
  <c r="I39" i="7"/>
  <c r="O9" i="12" l="1"/>
  <c r="O15" i="12"/>
  <c r="O14" i="12"/>
  <c r="N16" i="12"/>
  <c r="O16" i="12" s="1"/>
  <c r="N17" i="12"/>
  <c r="O17" i="12" s="1"/>
  <c r="N18" i="12"/>
  <c r="N20" i="12"/>
  <c r="N19" i="12"/>
  <c r="O10" i="12"/>
  <c r="O12" i="12"/>
  <c r="O7" i="12"/>
  <c r="N24" i="11"/>
  <c r="O22" i="11"/>
  <c r="N22" i="11"/>
  <c r="O19" i="12" l="1"/>
  <c r="O20" i="12"/>
  <c r="O18" i="12"/>
</calcChain>
</file>

<file path=xl/sharedStrings.xml><?xml version="1.0" encoding="utf-8"?>
<sst xmlns="http://schemas.openxmlformats.org/spreadsheetml/2006/main" count="247" uniqueCount="166">
  <si>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</si>
  <si>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</si>
  <si>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</si>
  <si>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</si>
  <si>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</si>
  <si>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</si>
  <si>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</si>
  <si>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</si>
  <si>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</si>
  <si>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</si>
  <si>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</si>
  <si>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</si>
  <si>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</si>
  <si>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</si>
  <si>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</si>
  <si>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</si>
  <si>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</si>
  <si>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</si>
  <si>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</si>
  <si>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</si>
  <si>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</si>
  <si>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</si>
  <si>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</si>
  <si>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</si>
  <si>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</si>
  <si>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</si>
  <si>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</si>
  <si>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</si>
  <si>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</si>
  <si>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</si>
  <si>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</si>
  <si>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</si>
  <si>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ASIAN PAINTS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</si>
  <si>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</si>
  <si>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</si>
  <si>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</si>
  <si>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</si>
  <si>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</si>
  <si>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</si>
  <si>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</si>
  <si>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</si>
  <si>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</si>
  <si>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</si>
  <si>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</si>
  <si>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</si>
  <si>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</si>
  <si>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</si>
  <si>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</si>
  <si>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</si>
  <si>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</si>
  <si>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</si>
  <si>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</si>
  <si>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</si>
  <si>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</si>
  <si>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 xml:space="preserve"> </t>
  </si>
  <si>
    <t>Years</t>
  </si>
  <si>
    <t>#</t>
  </si>
  <si>
    <t>Income Statement</t>
  </si>
  <si>
    <t>COGS</t>
  </si>
  <si>
    <t>COGS as % of Sales</t>
  </si>
  <si>
    <t>Gross Profit</t>
  </si>
  <si>
    <t>Gross Profit as % of Sales</t>
  </si>
  <si>
    <t>Selling &amp; General Expense</t>
  </si>
  <si>
    <t>S&amp;G as % of Sales</t>
  </si>
  <si>
    <t>EBITDA</t>
  </si>
  <si>
    <t>EBITDA Margin</t>
  </si>
  <si>
    <t>Interest as % of Sales</t>
  </si>
  <si>
    <t>Depreciation as % of Sales</t>
  </si>
  <si>
    <t>Earnings Before Tax</t>
  </si>
  <si>
    <t>EBT as % of Sales</t>
  </si>
  <si>
    <t>Efffective Tax Rate</t>
  </si>
  <si>
    <t>Net Profit</t>
  </si>
  <si>
    <t>Net Profit Margin</t>
  </si>
  <si>
    <t>NA</t>
  </si>
  <si>
    <t>No of Equity Shares</t>
  </si>
  <si>
    <t>Earnings Per Share</t>
  </si>
  <si>
    <t>EPS Growth Rate</t>
  </si>
  <si>
    <t>Dividend Per Share</t>
  </si>
  <si>
    <t>Dividend Payout Ratio</t>
  </si>
  <si>
    <t>Retained Earnings</t>
  </si>
  <si>
    <t>Balance Sheet</t>
  </si>
  <si>
    <t>Total Assets</t>
  </si>
  <si>
    <t>Total Non Current Assets</t>
  </si>
  <si>
    <t>Total Liabilities</t>
  </si>
  <si>
    <t>Total Current Assets</t>
  </si>
  <si>
    <t>Fiexed Assets Net Block</t>
  </si>
  <si>
    <t>Bal Check</t>
  </si>
  <si>
    <t>Cash Flow Statement</t>
  </si>
  <si>
    <t>Cash from Operating Activity -</t>
  </si>
  <si>
    <t>Profit from operations</t>
  </si>
  <si>
    <t>Payables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</si>
  <si>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</si>
  <si>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</si>
  <si>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</si>
  <si>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</si>
  <si>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</si>
  <si>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</si>
  <si>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</si>
  <si>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</si>
  <si>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</si>
  <si>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</si>
  <si>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</si>
  <si>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</si>
  <si>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</si>
  <si>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Other investing items</t>
  </si>
  <si>
    <t>Cash from Financing Activity -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</si>
  <si>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</si>
  <si>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</si>
  <si>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</si>
  <si>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</si>
  <si>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</si>
  <si>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</si>
  <si>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Activities</t>
  </si>
  <si>
    <t>Operating Activities</t>
  </si>
  <si>
    <t>Cash from Investing Activities</t>
  </si>
  <si>
    <t>Investing Activities</t>
  </si>
  <si>
    <t>Financing Activities</t>
  </si>
  <si>
    <t>Cash from Financing Activities</t>
  </si>
  <si>
    <t>Short Cash Flow</t>
  </si>
  <si>
    <t>EBITDA Growth</t>
  </si>
  <si>
    <t>Net Profit Growth</t>
  </si>
  <si>
    <t>Dividend Growth</t>
  </si>
  <si>
    <t>Gross Margin</t>
  </si>
  <si>
    <t>EBIT Margin</t>
  </si>
  <si>
    <t>EBT Margin</t>
  </si>
  <si>
    <t>EBT Growth</t>
  </si>
  <si>
    <t>Selling Exp as % of Sales</t>
  </si>
  <si>
    <t>Operating Exp as % of Sales</t>
  </si>
  <si>
    <t>Return on Capital Employed</t>
  </si>
  <si>
    <t>Retained Earnings %</t>
  </si>
  <si>
    <t xml:space="preserve">Return on Equity </t>
  </si>
  <si>
    <t>Interest Coverage Ratio</t>
  </si>
  <si>
    <t>Self Sustained Growth Rate (g=b*r)</t>
  </si>
  <si>
    <t>Debtor Turnover Ratio</t>
  </si>
  <si>
    <t>CreditorTurnover Ratio</t>
  </si>
  <si>
    <t>Inventory Turnover</t>
  </si>
  <si>
    <t>Fixed Asset Turnover</t>
  </si>
  <si>
    <t>Capital Turnover</t>
  </si>
  <si>
    <t>Debtor Days</t>
  </si>
  <si>
    <t>Payable Days</t>
  </si>
  <si>
    <t>Inventory Days</t>
  </si>
  <si>
    <t>(In Days)</t>
  </si>
  <si>
    <t>CFO/Sales</t>
  </si>
  <si>
    <t>CFO/Total Assets</t>
  </si>
  <si>
    <t>CFO/Total Debt (Borrowings)</t>
  </si>
  <si>
    <t>Cash Conversion Cycle (Days)</t>
  </si>
  <si>
    <t>Na</t>
  </si>
  <si>
    <t>Mean</t>
  </si>
  <si>
    <t>Median</t>
  </si>
  <si>
    <t>Trend</t>
  </si>
  <si>
    <t>Weight</t>
  </si>
  <si>
    <t>Year</t>
  </si>
  <si>
    <t>EPS</t>
  </si>
  <si>
    <t>EPS Growth</t>
  </si>
  <si>
    <t>main sheet TAMO</t>
  </si>
  <si>
    <t>change the cash flow statement in cash flow data sheet</t>
  </si>
  <si>
    <t>freeze first cell (year)</t>
  </si>
  <si>
    <t>don’t hardcode</t>
  </si>
  <si>
    <t>keep it simple</t>
  </si>
  <si>
    <t>lock the main data sheet</t>
  </si>
  <si>
    <t>always cross check</t>
  </si>
  <si>
    <t>just have to update cash flow</t>
  </si>
  <si>
    <t>EBIT is not calculated we have to do sums(+/-) while calculating something</t>
  </si>
  <si>
    <t>Other Income/Expense is not considered</t>
  </si>
  <si>
    <t xml:space="preserve">forecasting ,update transpose data while forecasting </t>
  </si>
  <si>
    <t>Exceptional CF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</si>
</sst>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₹&quot;\ #,##0.00;[Red]&quot;₹&quot;\ \-#,##0.00"/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;[Red]&quot;₹&quot;\ \-#,##0.0"/>
    <numFmt numFmtId="167" formatCode="&quot;₹&quot;\ #,##0.0;&quot;₹&quot;\ \(#,##0.0\)"/>
    <numFmt numFmtId="168" formatCode="&quot;₹&quot;\ #,##0.00"/>
    <numFmt numFmtId="169" formatCode="0.00\x"/>
    <numFmt numFmtId="170" formatCode="yyyy&quot;A&quot;"/>
    <numFmt numFmtId="171" formatCode="yyyy&quot;E&quot;"/>
    <numFmt numFmtId="172" formatCode="#,##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rgb="FF0000CC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theme="3" tint="0.39994506668294322"/>
      </top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0" tint="-0.499984740745262"/>
      </top>
      <bottom style="thin">
        <color theme="3" tint="0.39994506668294322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167" fontId="3" fillId="0" borderId="0">
      <alignment horizontal="right"/>
    </xf>
    <xf numFmtId="9" fontId="3" fillId="0" borderId="0" applyFont="0" applyFill="0" applyBorder="0" applyAlignment="0" applyProtection="0"/>
  </cellStyleXfs>
  <cellXfs count="81">
    <xf numFmtId="0" fontId="0" fillId="0" borderId="0" xfId="0"/>
    <xf numFmtId="43" fontId="1" fillId="0" borderId="0" xfId="1" applyFont="1" applyBorder="1"/>
    <xf numFmtId="0" fontId="1" fillId="0" borderId="0" xfId="0" applyFont="1"/>
    <xf numFmtId="43" fontId="0" fillId="0" borderId="0" xfId="1" applyFont="1" applyBorder="1"/>
    <xf numFmtId="43" fontId="3" fillId="0" borderId="0" xfId="1" applyFont="1" applyBorder="1"/>
    <xf numFmtId="165" fontId="2" fillId="3" borderId="0" xfId="0" applyNumberFormat="1" applyFont="1" applyFill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0" fontId="0" fillId="0" borderId="0" xfId="0" applyAlignment="1">
      <alignment horizontal="left"/>
    </xf>
    <xf numFmtId="164" fontId="0" fillId="0" borderId="0" xfId="1" applyNumberFormat="1" applyFont="1" applyBorder="1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0" fontId="7" fillId="0" borderId="0" xfId="0" applyFont="1" applyAlignment="1">
      <alignment horizontal="left"/>
    </xf>
    <xf numFmtId="9" fontId="7" fillId="0" borderId="0" xfId="0" applyNumberFormat="1" applyFont="1" applyAlignment="1">
      <alignment horizontal="right"/>
    </xf>
    <xf numFmtId="10" fontId="7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1" fillId="0" borderId="1" xfId="0" applyFont="1" applyBorder="1"/>
    <xf numFmtId="3" fontId="1" fillId="0" borderId="0" xfId="0" applyNumberFormat="1" applyFont="1"/>
    <xf numFmtId="3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167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166" fontId="1" fillId="0" borderId="2" xfId="0" applyNumberFormat="1" applyFont="1" applyBorder="1" applyAlignment="1">
      <alignment horizontal="right"/>
    </xf>
    <xf numFmtId="167" fontId="1" fillId="0" borderId="2" xfId="0" applyNumberFormat="1" applyFont="1" applyBorder="1" applyAlignment="1">
      <alignment horizontal="right"/>
    </xf>
    <xf numFmtId="43" fontId="1" fillId="0" borderId="2" xfId="1" applyFont="1" applyBorder="1"/>
    <xf numFmtId="9" fontId="9" fillId="0" borderId="1" xfId="0" applyNumberFormat="1" applyFont="1" applyBorder="1" applyAlignment="1">
      <alignment horizontal="right"/>
    </xf>
    <xf numFmtId="10" fontId="9" fillId="0" borderId="1" xfId="0" applyNumberFormat="1" applyFont="1" applyBorder="1" applyAlignment="1">
      <alignment horizontal="right"/>
    </xf>
    <xf numFmtId="0" fontId="5" fillId="5" borderId="0" xfId="0" applyFont="1" applyFill="1"/>
    <xf numFmtId="17" fontId="5" fillId="5" borderId="0" xfId="0" applyNumberFormat="1" applyFont="1" applyFill="1" applyAlignment="1">
      <alignment horizontal="right"/>
    </xf>
    <xf numFmtId="0" fontId="0" fillId="0" borderId="3" xfId="0" applyBorder="1" applyAlignment="1">
      <alignment horizontal="left"/>
    </xf>
    <xf numFmtId="9" fontId="0" fillId="0" borderId="3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8" fontId="0" fillId="0" borderId="2" xfId="0" applyNumberFormat="1" applyBorder="1" applyAlignment="1">
      <alignment horizontal="right"/>
    </xf>
    <xf numFmtId="167" fontId="3" fillId="0" borderId="2" xfId="4" applyBorder="1">
      <alignment horizontal="right"/>
    </xf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7" fontId="1" fillId="0" borderId="5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167" fontId="1" fillId="0" borderId="0" xfId="0" applyNumberFormat="1" applyFont="1" applyAlignment="1">
      <alignment horizontal="right"/>
    </xf>
    <xf numFmtId="169" fontId="0" fillId="0" borderId="0" xfId="0" applyNumberFormat="1"/>
    <xf numFmtId="0" fontId="10" fillId="0" borderId="0" xfId="0" applyFont="1" applyAlignment="1">
      <alignment horizontal="left"/>
    </xf>
    <xf numFmtId="10" fontId="0" fillId="0" borderId="0" xfId="5" applyNumberFormat="1" applyFont="1" applyBorder="1"/>
    <xf numFmtId="0" fontId="0" fillId="0" borderId="7" xfId="0" applyBorder="1" applyAlignment="1">
      <alignment horizontal="left"/>
    </xf>
    <xf numFmtId="0" fontId="0" fillId="0" borderId="7" xfId="0" applyBorder="1"/>
    <xf numFmtId="10" fontId="0" fillId="0" borderId="7" xfId="5" applyNumberFormat="1" applyFont="1" applyBorder="1"/>
    <xf numFmtId="0" fontId="0" fillId="0" borderId="8" xfId="0" applyBorder="1" applyAlignment="1">
      <alignment horizontal="left"/>
    </xf>
    <xf numFmtId="0" fontId="0" fillId="0" borderId="8" xfId="0" applyBorder="1"/>
    <xf numFmtId="10" fontId="0" fillId="0" borderId="8" xfId="5" applyNumberFormat="1" applyFont="1" applyBorder="1"/>
    <xf numFmtId="10" fontId="0" fillId="0" borderId="8" xfId="0" applyNumberFormat="1" applyBorder="1"/>
    <xf numFmtId="169" fontId="0" fillId="0" borderId="8" xfId="0" applyNumberFormat="1" applyBorder="1"/>
    <xf numFmtId="169" fontId="0" fillId="0" borderId="7" xfId="0" applyNumberFormat="1" applyBorder="1"/>
    <xf numFmtId="0" fontId="0" fillId="0" borderId="9" xfId="0" applyBorder="1"/>
    <xf numFmtId="0" fontId="0" fillId="0" borderId="7" xfId="0" applyBorder="1" applyAlignment="1">
      <alignment horizontal="right"/>
    </xf>
    <xf numFmtId="1" fontId="0" fillId="0" borderId="0" xfId="0" applyNumberFormat="1"/>
    <xf numFmtId="1" fontId="0" fillId="0" borderId="7" xfId="0" applyNumberFormat="1" applyBorder="1"/>
    <xf numFmtId="1" fontId="0" fillId="0" borderId="8" xfId="0" applyNumberFormat="1" applyBorder="1"/>
    <xf numFmtId="17" fontId="5" fillId="5" borderId="0" xfId="0" applyNumberFormat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2" fontId="12" fillId="0" borderId="0" xfId="0" applyNumberFormat="1" applyFont="1" applyAlignment="1">
      <alignment horizontal="right"/>
    </xf>
    <xf numFmtId="0" fontId="0" fillId="8" borderId="0" xfId="0" applyFill="1" applyAlignment="1">
      <alignment horizontal="left"/>
    </xf>
    <xf numFmtId="171" fontId="0" fillId="8" borderId="0" xfId="0" applyNumberFormat="1" applyFill="1" applyAlignment="1">
      <alignment horizontal="right"/>
    </xf>
    <xf numFmtId="172" fontId="0" fillId="8" borderId="0" xfId="0" applyNumberFormat="1" applyFill="1" applyAlignment="1">
      <alignment horizontal="right"/>
    </xf>
    <xf numFmtId="10" fontId="0" fillId="8" borderId="0" xfId="0" applyNumberFormat="1" applyFill="1" applyAlignment="1">
      <alignment horizontal="right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5" fillId="7" borderId="0" xfId="0" applyFont="1" applyFill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  <xf numFmtId="10" fontId="0" fillId="0" borderId="0" xfId="0" applyNumberFormat="1"/>
    <xf numFmtId="0" fontId="0" fillId="0" borderId="0" xfId="0" applyFont="1"/>
    <xf numFmtId="3" fontId="0" fillId="0" borderId="0" xfId="0" applyNumberFormat="1" applyFont="1"/>
  </cellXfs>
  <cellStyles count="6">
    <cellStyle name="Accent6" xfId="3" builtinId="49"/>
    <cellStyle name="Comma" xfId="1" builtinId="3"/>
    <cellStyle name="Hyperlink" xfId="2" builtinId="8"/>
    <cellStyle name="Negative Number" xfId="4" xr:uid="{2F1F85C9-C3DA-4531-90FA-608711A58DBD}"/>
    <cellStyle name="Normal" xfId="0" builtinId="0"/>
    <cellStyle name="Percent" xfId="5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000CC"/>
      <color rgb="FF000066"/>
      <color rgb="FF0066FF"/>
      <color rgb="FF003366"/>
      <color rgb="FF0000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BD10-F054-4537-BE6D-DDDDB583A8FF}">
  <sheetPr>
    <tabColor theme="2" tint="-0.499984740745262"/>
  </sheetPr>
  <dimension ref="B2:C13"/>
  <sheetViews>
    <sheetView showGridLines="0" workbookViewId="0">
      <selection activeCell="C5" sqref="C5"/>
    </sheetView>
  </sheetViews>
  <sheetFormatPr defaultRowHeight="14.4" x14ac:dyDescent="0.3"/>
  <sheetData>
    <row r="2" spans="2:3" x14ac:dyDescent="0.3">
      <c r="B2" s="2" t="s">
        <v>154</v>
      </c>
      <c r="C2" s="2"/>
    </row>
    <row r="4" spans="2:3" x14ac:dyDescent="0.3">
      <c r="B4">
        <v>1</v>
      </c>
      <c r="C4" t="s">
        <v>155</v>
      </c>
    </row>
    <row r="5" spans="2:3" x14ac:dyDescent="0.3">
      <c r="B5">
        <f>B4+1</f>
        <v>2</v>
      </c>
      <c r="C5" t="s">
        <v>164</v>
      </c>
    </row>
    <row r="6" spans="2:3" x14ac:dyDescent="0.3">
      <c r="B6">
        <f t="shared" ref="B6:B10" si="0">B5+1</f>
        <v>3</v>
      </c>
      <c r="C6" t="s">
        <v>156</v>
      </c>
    </row>
    <row r="7" spans="2:3" x14ac:dyDescent="0.3">
      <c r="B7">
        <f t="shared" si="0"/>
        <v>4</v>
      </c>
      <c r="C7" t="s">
        <v>157</v>
      </c>
    </row>
    <row r="8" spans="2:3" x14ac:dyDescent="0.3">
      <c r="B8">
        <f t="shared" si="0"/>
        <v>5</v>
      </c>
      <c r="C8" t="s">
        <v>158</v>
      </c>
    </row>
    <row r="9" spans="2:3" x14ac:dyDescent="0.3">
      <c r="B9">
        <f t="shared" si="0"/>
        <v>6</v>
      </c>
      <c r="C9" t="s">
        <v>159</v>
      </c>
    </row>
    <row r="10" spans="2:3" x14ac:dyDescent="0.3">
      <c r="B10">
        <f t="shared" si="0"/>
        <v>7</v>
      </c>
      <c r="C10" t="s">
        <v>160</v>
      </c>
    </row>
    <row r="11" spans="2:3" x14ac:dyDescent="0.3">
      <c r="B11">
        <v>8</v>
      </c>
      <c r="C11" t="s">
        <v>161</v>
      </c>
    </row>
    <row r="12" spans="2:3" x14ac:dyDescent="0.3">
      <c r="B12">
        <v>9</v>
      </c>
      <c r="C12" t="s">
        <v>162</v>
      </c>
    </row>
    <row r="13" spans="2:3" x14ac:dyDescent="0.3">
      <c r="B13">
        <v>10</v>
      </c>
      <c r="C13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E5D8-BC2D-4F92-A927-FB62C21A98EF}">
  <sheetPr>
    <tabColor rgb="FFFFC000"/>
  </sheetPr>
  <dimension ref="A1:N109"/>
  <sheetViews>
    <sheetView showGridLines="0" zoomScaleNormal="100" workbookViewId="0">
      <pane ySplit="3" topLeftCell="A94" activePane="bottomLeft" state="frozen"/>
      <selection pane="bottomLeft" activeCell="A117" sqref="A117"/>
    </sheetView>
  </sheetViews>
  <sheetFormatPr defaultRowHeight="14.4" x14ac:dyDescent="0.3"/>
  <cols>
    <col min="1" max="1" width="1.88671875" customWidth="1"/>
    <col min="2" max="2" width="30.77734375" style="8" customWidth="1"/>
    <col min="3" max="3" width="14.77734375" style="13" customWidth="1"/>
    <col min="4" max="12" width="14" style="13" customWidth="1"/>
  </cols>
  <sheetData>
    <row r="1" spans="1:12" x14ac:dyDescent="0.3">
      <c r="B1"/>
      <c r="C1"/>
      <c r="D1"/>
      <c r="E1"/>
      <c r="F1"/>
      <c r="G1"/>
      <c r="H1"/>
      <c r="I1"/>
      <c r="J1"/>
      <c r="K1"/>
      <c r="L1"/>
    </row>
    <row r="2" spans="1:12" x14ac:dyDescent="0.3">
      <c r="B2" s="73" t="str">
        <f>"Historical Financial Statements - "&amp;'Data Sheet'!B1</f>
        <v>Historical Financial Statements - ASIAN PAINTS LTD</v>
      </c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1:12" x14ac:dyDescent="0.3">
      <c r="B3" s="33" t="s">
        <v>55</v>
      </c>
      <c r="C3" s="34">
        <f>'Data Sheet'!B16</f>
        <v>41729</v>
      </c>
      <c r="D3" s="34">
        <f>'Data Sheet'!C16</f>
        <v>42094</v>
      </c>
      <c r="E3" s="34">
        <f>'Data Sheet'!D16</f>
        <v>42460</v>
      </c>
      <c r="F3" s="34">
        <f>'Data Sheet'!E16</f>
        <v>42825</v>
      </c>
      <c r="G3" s="34">
        <f>'Data Sheet'!F16</f>
        <v>43190</v>
      </c>
      <c r="H3" s="34">
        <f>'Data Sheet'!G16</f>
        <v>43555</v>
      </c>
      <c r="I3" s="34">
        <f>'Data Sheet'!H16</f>
        <v>43921</v>
      </c>
      <c r="J3" s="34">
        <f>'Data Sheet'!I16</f>
        <v>44286</v>
      </c>
      <c r="K3" s="34">
        <f>'Data Sheet'!J16</f>
        <v>44651</v>
      </c>
      <c r="L3" s="34">
        <f>'Data Sheet'!K16</f>
        <v>45016</v>
      </c>
    </row>
    <row r="4" spans="1:12" s="11" customFormat="1" x14ac:dyDescent="0.3"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3">
      <c r="A5" t="s">
        <v>56</v>
      </c>
      <c r="B5" s="74" t="s">
        <v>57</v>
      </c>
      <c r="C5" s="74"/>
      <c r="D5" s="74"/>
      <c r="E5" s="74"/>
      <c r="F5" s="74"/>
      <c r="G5" s="74"/>
      <c r="H5" s="74"/>
      <c r="I5" s="74"/>
      <c r="J5" s="74"/>
      <c r="K5" s="74"/>
      <c r="L5" s="74"/>
    </row>
    <row r="6" spans="1:12" x14ac:dyDescent="0.3">
      <c r="B6" s="8" t="s">
        <v>0</v>
      </c>
      <c r="C6" s="14">
        <f>IFERROR('Data Sheet'!B17,0)</f>
        <v>12220.37</v>
      </c>
      <c r="D6" s="14">
        <f>IFERROR('Data Sheet'!C17,0)</f>
        <v>13615.26</v>
      </c>
      <c r="E6" s="14">
        <f>IFERROR('Data Sheet'!D17,0)</f>
        <v>14271.49</v>
      </c>
      <c r="F6" s="14">
        <f>IFERROR('Data Sheet'!E17,0)</f>
        <v>15061.99</v>
      </c>
      <c r="G6" s="14">
        <f>IFERROR('Data Sheet'!F17,0)</f>
        <v>16824.55</v>
      </c>
      <c r="H6" s="14">
        <f>IFERROR('Data Sheet'!G17,0)</f>
        <v>19240.13</v>
      </c>
      <c r="I6" s="14">
        <f>IFERROR('Data Sheet'!H17,0)</f>
        <v>20211.25</v>
      </c>
      <c r="J6" s="14">
        <f>IFERROR('Data Sheet'!I17,0)</f>
        <v>21712.79</v>
      </c>
      <c r="K6" s="14">
        <f>IFERROR('Data Sheet'!J17,0)</f>
        <v>29101.279999999999</v>
      </c>
      <c r="L6" s="14">
        <f>IFERROR('Data Sheet'!K17,0)</f>
        <v>34488.589999999997</v>
      </c>
    </row>
    <row r="7" spans="1:12" x14ac:dyDescent="0.3">
      <c r="B7" s="15" t="s">
        <v>9</v>
      </c>
      <c r="C7" s="16" t="s">
        <v>73</v>
      </c>
      <c r="D7" s="17">
        <f>D6/C6-1</f>
        <v>0.11414466174101112</v>
      </c>
      <c r="E7" s="17">
        <f t="shared" ref="E7:L7" si="0">E6/D6-1</f>
        <v>4.8198124751198224E-2</v>
      </c>
      <c r="F7" s="17">
        <f t="shared" si="0"/>
        <v>5.5390151974320734E-2</v>
      </c>
      <c r="G7" s="17">
        <f t="shared" si="0"/>
        <v>0.11702039371955486</v>
      </c>
      <c r="H7" s="17">
        <f t="shared" si="0"/>
        <v>0.14357471670861943</v>
      </c>
      <c r="I7" s="17">
        <f t="shared" si="0"/>
        <v>5.0473671435691925E-2</v>
      </c>
      <c r="J7" s="17">
        <f t="shared" si="0"/>
        <v>7.4292287711052118E-2</v>
      </c>
      <c r="K7" s="17">
        <f t="shared" si="0"/>
        <v>0.34028284711453471</v>
      </c>
      <c r="L7" s="17">
        <f t="shared" si="0"/>
        <v>0.18512278497715551</v>
      </c>
    </row>
    <row r="9" spans="1:12" x14ac:dyDescent="0.3">
      <c r="B9" s="8" t="s">
        <v>58</v>
      </c>
      <c r="C9" s="14">
        <f>IFERROR(SUM('Data Sheet'!B18,'Data Sheet'!B20:B22)-1*('Data Sheet'!B19),0)</f>
        <v>8438.98</v>
      </c>
      <c r="D9" s="14">
        <f>IFERROR(SUM('Data Sheet'!C18,'Data Sheet'!C20:C22)-1*('Data Sheet'!C19),0)</f>
        <v>9298.77</v>
      </c>
      <c r="E9" s="14">
        <f>IFERROR(SUM('Data Sheet'!D18,'Data Sheet'!D20:D22)-1*('Data Sheet'!D19),0)</f>
        <v>9413.8399999999983</v>
      </c>
      <c r="F9" s="14">
        <f>IFERROR(SUM('Data Sheet'!E18,'Data Sheet'!E20:E22)-1*('Data Sheet'!E19),0)</f>
        <v>9732.66</v>
      </c>
      <c r="G9" s="14">
        <f>IFERROR(SUM('Data Sheet'!F18,'Data Sheet'!F20:F22)-1*('Data Sheet'!F19),0)</f>
        <v>11194.169999999998</v>
      </c>
      <c r="H9" s="14">
        <f>IFERROR(SUM('Data Sheet'!G18,'Data Sheet'!G20:G22)-1*('Data Sheet'!G19),0)</f>
        <v>12905.81</v>
      </c>
      <c r="I9" s="14">
        <f>IFERROR(SUM('Data Sheet'!H18,'Data Sheet'!H20:H22)-1*('Data Sheet'!H19),0)</f>
        <v>13158.020000000002</v>
      </c>
      <c r="J9" s="14">
        <f>IFERROR(SUM('Data Sheet'!I18,'Data Sheet'!I20:I22)-1*('Data Sheet'!I19),0)</f>
        <v>14035.069999999998</v>
      </c>
      <c r="K9" s="14">
        <f>IFERROR(SUM('Data Sheet'!J18,'Data Sheet'!J20:J22)-1*('Data Sheet'!J19),0)</f>
        <v>20590.57</v>
      </c>
      <c r="L9" s="14">
        <f>IFERROR(SUM('Data Sheet'!K18,'Data Sheet'!K20:K22)-1*('Data Sheet'!K19),0)</f>
        <v>23766.7</v>
      </c>
    </row>
    <row r="10" spans="1:12" x14ac:dyDescent="0.3">
      <c r="B10" s="15" t="s">
        <v>59</v>
      </c>
      <c r="C10" s="17">
        <f>C9/C6</f>
        <v>0.69056665223720715</v>
      </c>
      <c r="D10" s="17">
        <f t="shared" ref="D10:L10" si="1">D9/D6</f>
        <v>0.68296675935678053</v>
      </c>
      <c r="E10" s="17">
        <f t="shared" si="1"/>
        <v>0.65962558919916547</v>
      </c>
      <c r="F10" s="17">
        <f t="shared" si="1"/>
        <v>0.64617357998511482</v>
      </c>
      <c r="G10" s="17">
        <f t="shared" si="1"/>
        <v>0.66534736441687881</v>
      </c>
      <c r="H10" s="17">
        <f t="shared" si="1"/>
        <v>0.67077561326248825</v>
      </c>
      <c r="I10" s="17">
        <f t="shared" si="1"/>
        <v>0.65102455315727636</v>
      </c>
      <c r="J10" s="17">
        <f t="shared" si="1"/>
        <v>0.64639643270164715</v>
      </c>
      <c r="K10" s="17">
        <f t="shared" si="1"/>
        <v>0.70754860267314701</v>
      </c>
      <c r="L10" s="17">
        <f t="shared" si="1"/>
        <v>0.68911776329504926</v>
      </c>
    </row>
    <row r="12" spans="1:12" x14ac:dyDescent="0.3">
      <c r="B12" s="27" t="s">
        <v>60</v>
      </c>
      <c r="C12" s="28">
        <f>IFERROR(C6-C9,0)</f>
        <v>3781.3900000000012</v>
      </c>
      <c r="D12" s="28">
        <f t="shared" ref="D12:L12" si="2">IFERROR(D6-D9,0)</f>
        <v>4316.49</v>
      </c>
      <c r="E12" s="28">
        <f t="shared" si="2"/>
        <v>4857.6500000000015</v>
      </c>
      <c r="F12" s="28">
        <f t="shared" si="2"/>
        <v>5329.33</v>
      </c>
      <c r="G12" s="28">
        <f t="shared" si="2"/>
        <v>5630.380000000001</v>
      </c>
      <c r="H12" s="28">
        <f t="shared" si="2"/>
        <v>6334.3200000000015</v>
      </c>
      <c r="I12" s="28">
        <f t="shared" si="2"/>
        <v>7053.2299999999977</v>
      </c>
      <c r="J12" s="28">
        <f t="shared" si="2"/>
        <v>7677.720000000003</v>
      </c>
      <c r="K12" s="28">
        <f t="shared" si="2"/>
        <v>8510.7099999999991</v>
      </c>
      <c r="L12" s="28">
        <f t="shared" si="2"/>
        <v>10721.889999999996</v>
      </c>
    </row>
    <row r="13" spans="1:12" x14ac:dyDescent="0.3">
      <c r="B13" s="15" t="s">
        <v>61</v>
      </c>
      <c r="C13" s="17">
        <f>C12/C6</f>
        <v>0.30943334776279285</v>
      </c>
      <c r="D13" s="17">
        <f t="shared" ref="D13:L13" si="3">D12/D6</f>
        <v>0.31703324064321942</v>
      </c>
      <c r="E13" s="17">
        <f t="shared" si="3"/>
        <v>0.34037441080083447</v>
      </c>
      <c r="F13" s="17">
        <f t="shared" si="3"/>
        <v>0.35382642001488518</v>
      </c>
      <c r="G13" s="17">
        <f t="shared" si="3"/>
        <v>0.33465263558312119</v>
      </c>
      <c r="H13" s="17">
        <f t="shared" si="3"/>
        <v>0.3292243867375117</v>
      </c>
      <c r="I13" s="17">
        <f t="shared" si="3"/>
        <v>0.34897544684272364</v>
      </c>
      <c r="J13" s="17">
        <f t="shared" si="3"/>
        <v>0.35360356729835285</v>
      </c>
      <c r="K13" s="17">
        <f t="shared" si="3"/>
        <v>0.29245139732685294</v>
      </c>
      <c r="L13" s="17">
        <f t="shared" si="3"/>
        <v>0.31088223670495074</v>
      </c>
    </row>
    <row r="15" spans="1:12" x14ac:dyDescent="0.3">
      <c r="B15" s="8" t="s">
        <v>62</v>
      </c>
      <c r="C15" s="14">
        <f>IFERROR(SUM('Data Sheet'!B23:B24),0)</f>
        <v>1777.7299999999998</v>
      </c>
      <c r="D15" s="14">
        <f>IFERROR(SUM('Data Sheet'!C23:C24),0)</f>
        <v>2073.6</v>
      </c>
      <c r="E15" s="14">
        <f>IFERROR(SUM('Data Sheet'!D23:D24),0)</f>
        <v>2132.61</v>
      </c>
      <c r="F15" s="14">
        <f>IFERROR(SUM('Data Sheet'!E23:E24),0)</f>
        <v>2335.5699999999997</v>
      </c>
      <c r="G15" s="14">
        <f>IFERROR(SUM('Data Sheet'!F23:F24),0)</f>
        <v>2426.37</v>
      </c>
      <c r="H15" s="14">
        <f>IFERROR(SUM('Data Sheet'!G23:G24),0)</f>
        <v>2569.38</v>
      </c>
      <c r="I15" s="14">
        <f>IFERROR(SUM('Data Sheet'!H23:H24),0)</f>
        <v>2896.4100000000003</v>
      </c>
      <c r="J15" s="14">
        <f>IFERROR(SUM('Data Sheet'!I23:I24),0)</f>
        <v>2822.12</v>
      </c>
      <c r="K15" s="14">
        <f>IFERROR(SUM('Data Sheet'!J23:J24),0)</f>
        <v>3707.1</v>
      </c>
      <c r="L15" s="14">
        <f>IFERROR(SUM('Data Sheet'!K23:K24),0)</f>
        <v>4462.05</v>
      </c>
    </row>
    <row r="16" spans="1:12" x14ac:dyDescent="0.3">
      <c r="B16" s="15" t="s">
        <v>63</v>
      </c>
      <c r="C16" s="17">
        <f>C15/C6</f>
        <v>0.14547268208736722</v>
      </c>
      <c r="D16" s="17">
        <f t="shared" ref="D16:L16" si="4">D15/D6</f>
        <v>0.15229969901419435</v>
      </c>
      <c r="E16" s="17">
        <f t="shared" si="4"/>
        <v>0.14943148893353111</v>
      </c>
      <c r="F16" s="17">
        <f t="shared" si="4"/>
        <v>0.15506383950593511</v>
      </c>
      <c r="G16" s="17">
        <f t="shared" si="4"/>
        <v>0.14421604143944414</v>
      </c>
      <c r="H16" s="17">
        <f t="shared" si="4"/>
        <v>0.13354275672773522</v>
      </c>
      <c r="I16" s="17">
        <f t="shared" si="4"/>
        <v>0.14330682169583772</v>
      </c>
      <c r="J16" s="17">
        <f t="shared" si="4"/>
        <v>0.12997500551518251</v>
      </c>
      <c r="K16" s="17">
        <f t="shared" si="4"/>
        <v>0.1273861493377611</v>
      </c>
      <c r="L16" s="17">
        <f t="shared" si="4"/>
        <v>0.12937757095897515</v>
      </c>
    </row>
    <row r="18" spans="2:12" x14ac:dyDescent="0.3">
      <c r="B18" s="27" t="s">
        <v>64</v>
      </c>
      <c r="C18" s="28">
        <f>IFERROR(C12-C15,0)</f>
        <v>2003.6600000000014</v>
      </c>
      <c r="D18" s="28">
        <f t="shared" ref="D18:L18" si="5">IFERROR(D12-D15,0)</f>
        <v>2242.89</v>
      </c>
      <c r="E18" s="28">
        <f t="shared" si="5"/>
        <v>2725.0400000000013</v>
      </c>
      <c r="F18" s="28">
        <f t="shared" si="5"/>
        <v>2993.76</v>
      </c>
      <c r="G18" s="28">
        <f t="shared" si="5"/>
        <v>3204.0100000000011</v>
      </c>
      <c r="H18" s="28">
        <f t="shared" si="5"/>
        <v>3764.9400000000014</v>
      </c>
      <c r="I18" s="28">
        <f t="shared" si="5"/>
        <v>4156.8199999999979</v>
      </c>
      <c r="J18" s="28">
        <f t="shared" si="5"/>
        <v>4855.6000000000031</v>
      </c>
      <c r="K18" s="28">
        <f t="shared" si="5"/>
        <v>4803.6099999999988</v>
      </c>
      <c r="L18" s="28">
        <f t="shared" si="5"/>
        <v>6259.8399999999956</v>
      </c>
    </row>
    <row r="19" spans="2:12" x14ac:dyDescent="0.3">
      <c r="B19" s="15" t="s">
        <v>65</v>
      </c>
      <c r="C19" s="17">
        <f>C18/C6</f>
        <v>0.16396066567542564</v>
      </c>
      <c r="D19" s="17">
        <f t="shared" ref="D19:L19" si="6">D18/D6</f>
        <v>0.16473354162902507</v>
      </c>
      <c r="E19" s="17">
        <f t="shared" si="6"/>
        <v>0.19094292186730338</v>
      </c>
      <c r="F19" s="17">
        <f t="shared" si="6"/>
        <v>0.19876258050895004</v>
      </c>
      <c r="G19" s="17">
        <f t="shared" si="6"/>
        <v>0.19043659414367703</v>
      </c>
      <c r="H19" s="17">
        <f t="shared" si="6"/>
        <v>0.19568163000977651</v>
      </c>
      <c r="I19" s="17">
        <f t="shared" si="6"/>
        <v>0.20566862514688591</v>
      </c>
      <c r="J19" s="17">
        <f t="shared" si="6"/>
        <v>0.22362856178317034</v>
      </c>
      <c r="K19" s="17">
        <f t="shared" si="6"/>
        <v>0.16506524798909186</v>
      </c>
      <c r="L19" s="17">
        <f t="shared" si="6"/>
        <v>0.1815046657459756</v>
      </c>
    </row>
    <row r="21" spans="2:12" x14ac:dyDescent="0.3">
      <c r="B21" s="8" t="s">
        <v>5</v>
      </c>
      <c r="C21" s="14">
        <f>IFERROR('Data Sheet'!B27,0)</f>
        <v>47.99</v>
      </c>
      <c r="D21" s="14">
        <f>IFERROR('Data Sheet'!C27,0)</f>
        <v>42.24</v>
      </c>
      <c r="E21" s="14">
        <f>IFERROR('Data Sheet'!D27,0)</f>
        <v>49</v>
      </c>
      <c r="F21" s="14">
        <f>IFERROR('Data Sheet'!E27,0)</f>
        <v>37.33</v>
      </c>
      <c r="G21" s="14">
        <f>IFERROR('Data Sheet'!F27,0)</f>
        <v>41.47</v>
      </c>
      <c r="H21" s="14">
        <f>IFERROR('Data Sheet'!G27,0)</f>
        <v>110.47</v>
      </c>
      <c r="I21" s="14">
        <f>IFERROR('Data Sheet'!H27,0)</f>
        <v>102.33</v>
      </c>
      <c r="J21" s="14">
        <f>IFERROR('Data Sheet'!I27,0)</f>
        <v>91.63</v>
      </c>
      <c r="K21" s="14">
        <f>IFERROR('Data Sheet'!J27,0)</f>
        <v>95.41</v>
      </c>
      <c r="L21" s="14">
        <f>IFERROR('Data Sheet'!K27,0)</f>
        <v>144.44999999999999</v>
      </c>
    </row>
    <row r="22" spans="2:12" x14ac:dyDescent="0.3">
      <c r="B22" s="15" t="s">
        <v>66</v>
      </c>
      <c r="C22" s="17">
        <f>C21/C6</f>
        <v>3.9270496719821081E-3</v>
      </c>
      <c r="D22" s="17">
        <f t="shared" ref="D22:L22" si="7">D21/D6</f>
        <v>3.1024012762150706E-3</v>
      </c>
      <c r="E22" s="17">
        <f t="shared" si="7"/>
        <v>3.4334186549547386E-3</v>
      </c>
      <c r="F22" s="17">
        <f t="shared" si="7"/>
        <v>2.4784241657310885E-3</v>
      </c>
      <c r="G22" s="17">
        <f t="shared" si="7"/>
        <v>2.4648504714836358E-3</v>
      </c>
      <c r="H22" s="17">
        <f t="shared" si="7"/>
        <v>5.7416451967840128E-3</v>
      </c>
      <c r="I22" s="17">
        <f t="shared" si="7"/>
        <v>5.0630218319005502E-3</v>
      </c>
      <c r="J22" s="17">
        <f t="shared" si="7"/>
        <v>4.2200933182700148E-3</v>
      </c>
      <c r="K22" s="17">
        <f t="shared" si="7"/>
        <v>3.2785499469439143E-3</v>
      </c>
      <c r="L22" s="17">
        <f t="shared" si="7"/>
        <v>4.1883417095335005E-3</v>
      </c>
    </row>
    <row r="24" spans="2:12" x14ac:dyDescent="0.3">
      <c r="B24" s="8" t="s">
        <v>4</v>
      </c>
      <c r="C24" s="14">
        <f>IFERROR('Data Sheet'!B26,0)</f>
        <v>245.66</v>
      </c>
      <c r="D24" s="14">
        <f>IFERROR('Data Sheet'!C26,0)</f>
        <v>265.92</v>
      </c>
      <c r="E24" s="14">
        <f>IFERROR('Data Sheet'!D26,0)</f>
        <v>275.58</v>
      </c>
      <c r="F24" s="14">
        <f>IFERROR('Data Sheet'!E26,0)</f>
        <v>334.79</v>
      </c>
      <c r="G24" s="14">
        <f>IFERROR('Data Sheet'!F26,0)</f>
        <v>360.47</v>
      </c>
      <c r="H24" s="14">
        <f>IFERROR('Data Sheet'!G26,0)</f>
        <v>622.14</v>
      </c>
      <c r="I24" s="14">
        <f>IFERROR('Data Sheet'!H26,0)</f>
        <v>780.5</v>
      </c>
      <c r="J24" s="14">
        <f>IFERROR('Data Sheet'!I26,0)</f>
        <v>791.27</v>
      </c>
      <c r="K24" s="14">
        <f>IFERROR('Data Sheet'!J26,0)</f>
        <v>816.36</v>
      </c>
      <c r="L24" s="14">
        <f>IFERROR('Data Sheet'!K26,0)</f>
        <v>858.02</v>
      </c>
    </row>
    <row r="25" spans="2:12" x14ac:dyDescent="0.3">
      <c r="B25" s="15" t="s">
        <v>67</v>
      </c>
      <c r="C25" s="17">
        <f>C24/C6</f>
        <v>2.0102500988104288E-2</v>
      </c>
      <c r="D25" s="17">
        <f t="shared" ref="D25:L25" si="8">D24/D6</f>
        <v>1.953102621617215E-2</v>
      </c>
      <c r="E25" s="17">
        <f t="shared" si="8"/>
        <v>1.9309826794539322E-2</v>
      </c>
      <c r="F25" s="17">
        <f t="shared" si="8"/>
        <v>2.2227474590011016E-2</v>
      </c>
      <c r="G25" s="17">
        <f t="shared" si="8"/>
        <v>2.1425238713665449E-2</v>
      </c>
      <c r="H25" s="17">
        <f t="shared" si="8"/>
        <v>3.2335540352378074E-2</v>
      </c>
      <c r="I25" s="17">
        <f t="shared" si="8"/>
        <v>3.8617106809326486E-2</v>
      </c>
      <c r="J25" s="17">
        <f t="shared" si="8"/>
        <v>3.6442576011650275E-2</v>
      </c>
      <c r="K25" s="17">
        <f t="shared" si="8"/>
        <v>2.8052374328551871E-2</v>
      </c>
      <c r="L25" s="17">
        <f t="shared" si="8"/>
        <v>2.4878372818372688E-2</v>
      </c>
    </row>
    <row r="27" spans="2:12" x14ac:dyDescent="0.3">
      <c r="B27" s="27" t="s">
        <v>68</v>
      </c>
      <c r="C27" s="28">
        <f>IFERROR(C18-SUM(C21+C24),0)</f>
        <v>1710.0100000000016</v>
      </c>
      <c r="D27" s="28">
        <f t="shared" ref="D27:L27" si="9">IFERROR(D18-SUM(D21+D24),0)</f>
        <v>1934.7299999999998</v>
      </c>
      <c r="E27" s="28">
        <f t="shared" si="9"/>
        <v>2400.4600000000014</v>
      </c>
      <c r="F27" s="28">
        <f t="shared" si="9"/>
        <v>2621.6400000000003</v>
      </c>
      <c r="G27" s="28">
        <f t="shared" si="9"/>
        <v>2802.0700000000011</v>
      </c>
      <c r="H27" s="29">
        <f t="shared" si="9"/>
        <v>3032.3300000000013</v>
      </c>
      <c r="I27" s="29">
        <f t="shared" si="9"/>
        <v>3273.989999999998</v>
      </c>
      <c r="J27" s="28">
        <f t="shared" si="9"/>
        <v>3972.700000000003</v>
      </c>
      <c r="K27" s="29">
        <f t="shared" si="9"/>
        <v>3891.8399999999988</v>
      </c>
      <c r="L27" s="29">
        <f t="shared" si="9"/>
        <v>5257.3699999999953</v>
      </c>
    </row>
    <row r="28" spans="2:12" x14ac:dyDescent="0.3">
      <c r="B28" s="15" t="s">
        <v>69</v>
      </c>
      <c r="C28" s="17">
        <f>C27/C6</f>
        <v>0.13993111501533925</v>
      </c>
      <c r="D28" s="17">
        <f t="shared" ref="D28:L28" si="10">D27/D6</f>
        <v>0.14210011413663784</v>
      </c>
      <c r="E28" s="17">
        <f t="shared" si="10"/>
        <v>0.16819967641780931</v>
      </c>
      <c r="F28" s="17">
        <f t="shared" si="10"/>
        <v>0.17405668175320793</v>
      </c>
      <c r="G28" s="17">
        <f t="shared" si="10"/>
        <v>0.16654650495852794</v>
      </c>
      <c r="H28" s="17">
        <f t="shared" si="10"/>
        <v>0.15760444446061442</v>
      </c>
      <c r="I28" s="17">
        <f t="shared" si="10"/>
        <v>0.16198849650565889</v>
      </c>
      <c r="J28" s="17">
        <f t="shared" si="10"/>
        <v>0.18296589245325004</v>
      </c>
      <c r="K28" s="17">
        <f t="shared" si="10"/>
        <v>0.13373432371359606</v>
      </c>
      <c r="L28" s="17">
        <f t="shared" si="10"/>
        <v>0.15243795121806938</v>
      </c>
    </row>
    <row r="30" spans="2:12" x14ac:dyDescent="0.3">
      <c r="B30" s="8" t="s">
        <v>7</v>
      </c>
      <c r="C30" s="14">
        <f>IFERROR('Data Sheet'!B29,0)</f>
        <v>571.51</v>
      </c>
      <c r="D30" s="14">
        <f>IFERROR('Data Sheet'!C29,0)</f>
        <v>649.54</v>
      </c>
      <c r="E30" s="14">
        <f>IFERROR('Data Sheet'!D29,0)</f>
        <v>844.49</v>
      </c>
      <c r="F30" s="14">
        <f>IFERROR('Data Sheet'!E29,0)</f>
        <v>943.29</v>
      </c>
      <c r="G30" s="14">
        <f>IFERROR('Data Sheet'!F29,0)</f>
        <v>1040.96</v>
      </c>
      <c r="H30" s="18">
        <f>IFERROR('Data Sheet'!G29,0)</f>
        <v>1098.06</v>
      </c>
      <c r="I30" s="14">
        <f>IFERROR('Data Sheet'!H29,0)</f>
        <v>854.85</v>
      </c>
      <c r="J30" s="14">
        <f>IFERROR('Data Sheet'!I29,0)</f>
        <v>1097.5999999999999</v>
      </c>
      <c r="K30" s="14">
        <f>IFERROR('Data Sheet'!J29,0)</f>
        <v>1102.9100000000001</v>
      </c>
      <c r="L30" s="14">
        <f>IFERROR('Data Sheet'!K29,0)</f>
        <v>1493.5</v>
      </c>
    </row>
    <row r="31" spans="2:12" x14ac:dyDescent="0.3">
      <c r="B31" s="15" t="s">
        <v>70</v>
      </c>
      <c r="C31" s="17">
        <f>C30/C27</f>
        <v>0.3342144197987143</v>
      </c>
      <c r="D31" s="17">
        <f t="shared" ref="D31:L31" si="11">D30/D27</f>
        <v>0.33572643211197428</v>
      </c>
      <c r="E31" s="17">
        <f t="shared" si="11"/>
        <v>0.35180340434749985</v>
      </c>
      <c r="F31" s="17">
        <f t="shared" si="11"/>
        <v>0.35980912711127377</v>
      </c>
      <c r="G31" s="17">
        <f t="shared" si="11"/>
        <v>0.37149678630441052</v>
      </c>
      <c r="H31" s="17">
        <f t="shared" si="11"/>
        <v>0.36211757955103813</v>
      </c>
      <c r="I31" s="17">
        <f t="shared" si="11"/>
        <v>0.26110342426213901</v>
      </c>
      <c r="J31" s="17">
        <f t="shared" si="11"/>
        <v>0.2762856495582347</v>
      </c>
      <c r="K31" s="17">
        <f t="shared" si="11"/>
        <v>0.2833903757605658</v>
      </c>
      <c r="L31" s="17">
        <f t="shared" si="11"/>
        <v>0.28407739991668862</v>
      </c>
    </row>
    <row r="33" spans="1:12" x14ac:dyDescent="0.3">
      <c r="B33" s="27" t="s">
        <v>71</v>
      </c>
      <c r="C33" s="28">
        <f>IFERROR(C27-C30,0)</f>
        <v>1138.5000000000016</v>
      </c>
      <c r="D33" s="28">
        <f t="shared" ref="D33:L33" si="12">IFERROR(D27-D30,0)</f>
        <v>1285.1899999999998</v>
      </c>
      <c r="E33" s="28">
        <f t="shared" si="12"/>
        <v>1555.9700000000014</v>
      </c>
      <c r="F33" s="28">
        <f t="shared" si="12"/>
        <v>1678.3500000000004</v>
      </c>
      <c r="G33" s="28">
        <f t="shared" si="12"/>
        <v>1761.110000000001</v>
      </c>
      <c r="H33" s="29">
        <f t="shared" si="12"/>
        <v>1934.2700000000013</v>
      </c>
      <c r="I33" s="29">
        <f t="shared" si="12"/>
        <v>2419.1399999999981</v>
      </c>
      <c r="J33" s="29">
        <f t="shared" si="12"/>
        <v>2875.1000000000031</v>
      </c>
      <c r="K33" s="29">
        <f t="shared" si="12"/>
        <v>2788.9299999999985</v>
      </c>
      <c r="L33" s="29">
        <f t="shared" si="12"/>
        <v>3763.8699999999953</v>
      </c>
    </row>
    <row r="34" spans="1:12" x14ac:dyDescent="0.3">
      <c r="B34" s="15" t="s">
        <v>72</v>
      </c>
      <c r="C34" s="17">
        <f>C33/C6</f>
        <v>9.3164118598700496E-2</v>
      </c>
      <c r="D34" s="17">
        <f t="shared" ref="D34:L34" si="13">D33/D6</f>
        <v>9.43933498148401E-2</v>
      </c>
      <c r="E34" s="17">
        <f t="shared" si="13"/>
        <v>0.10902645764387611</v>
      </c>
      <c r="F34" s="17">
        <f t="shared" si="13"/>
        <v>0.1114294990237014</v>
      </c>
      <c r="G34" s="17">
        <f t="shared" si="13"/>
        <v>0.10467501359620324</v>
      </c>
      <c r="H34" s="17">
        <f t="shared" si="13"/>
        <v>0.1005331045060507</v>
      </c>
      <c r="I34" s="17">
        <f t="shared" si="13"/>
        <v>0.1196927453769558</v>
      </c>
      <c r="J34" s="17">
        <f t="shared" si="13"/>
        <v>0.13241504200980173</v>
      </c>
      <c r="K34" s="17">
        <f t="shared" si="13"/>
        <v>9.5835303464314917E-2</v>
      </c>
      <c r="L34" s="17">
        <f t="shared" si="13"/>
        <v>0.10913377438741322</v>
      </c>
    </row>
    <row r="36" spans="1:12" x14ac:dyDescent="0.3">
      <c r="B36" s="8" t="s">
        <v>74</v>
      </c>
      <c r="C36" s="13">
        <f>IFERROR('Data Sheet'!B93,0)</f>
        <v>95.92</v>
      </c>
      <c r="D36" s="13">
        <f>IFERROR('Data Sheet'!C93,0)</f>
        <v>95.92</v>
      </c>
      <c r="E36" s="13">
        <f>IFERROR('Data Sheet'!D93,0)</f>
        <v>95.92</v>
      </c>
      <c r="F36" s="13">
        <f>IFERROR('Data Sheet'!E93,0)</f>
        <v>95.92</v>
      </c>
      <c r="G36" s="13">
        <f>IFERROR('Data Sheet'!F93,0)</f>
        <v>95.92</v>
      </c>
      <c r="H36" s="13">
        <f>IFERROR('Data Sheet'!G93,0)</f>
        <v>95.92</v>
      </c>
      <c r="I36" s="13">
        <f>IFERROR('Data Sheet'!H93,0)</f>
        <v>95.92</v>
      </c>
      <c r="J36" s="13">
        <f>IFERROR('Data Sheet'!I93,0)</f>
        <v>95.92</v>
      </c>
      <c r="K36" s="13">
        <f>IFERROR('Data Sheet'!J93,0)</f>
        <v>95.92</v>
      </c>
      <c r="L36" s="13">
        <f>IFERROR('Data Sheet'!K93,0)</f>
        <v>95.92</v>
      </c>
    </row>
    <row r="38" spans="1:12" x14ac:dyDescent="0.3">
      <c r="B38" s="37" t="s">
        <v>75</v>
      </c>
      <c r="C38" s="38">
        <f>C33/C36</f>
        <v>11.869266055045887</v>
      </c>
      <c r="D38" s="38">
        <f t="shared" ref="D38:L38" si="14">D33/D36</f>
        <v>13.398561301084236</v>
      </c>
      <c r="E38" s="38">
        <f t="shared" si="14"/>
        <v>16.221538782318614</v>
      </c>
      <c r="F38" s="38">
        <f t="shared" si="14"/>
        <v>17.497393661384489</v>
      </c>
      <c r="G38" s="38">
        <f t="shared" si="14"/>
        <v>18.360195996663897</v>
      </c>
      <c r="H38" s="39">
        <f t="shared" si="14"/>
        <v>20.165450375312773</v>
      </c>
      <c r="I38" s="39">
        <f t="shared" si="14"/>
        <v>25.220391993327752</v>
      </c>
      <c r="J38" s="39">
        <f t="shared" si="14"/>
        <v>29.973936613844902</v>
      </c>
      <c r="K38" s="39">
        <f t="shared" si="14"/>
        <v>29.075583819849857</v>
      </c>
      <c r="L38" s="39">
        <f t="shared" si="14"/>
        <v>39.23967889908252</v>
      </c>
    </row>
    <row r="39" spans="1:12" x14ac:dyDescent="0.3">
      <c r="B39" s="25" t="s">
        <v>76</v>
      </c>
      <c r="C39" s="31" t="s">
        <v>73</v>
      </c>
      <c r="D39" s="32">
        <f>D38/C38-1</f>
        <v>0.12884497145366547</v>
      </c>
      <c r="E39" s="32">
        <f t="shared" ref="E39:L39" si="15">E38/D38-1</f>
        <v>0.21069258241972122</v>
      </c>
      <c r="F39" s="32">
        <f t="shared" si="15"/>
        <v>7.8651902028958443E-2</v>
      </c>
      <c r="G39" s="32">
        <f t="shared" si="15"/>
        <v>4.9310334554771629E-2</v>
      </c>
      <c r="H39" s="32">
        <f t="shared" si="15"/>
        <v>9.8324352255111824E-2</v>
      </c>
      <c r="I39" s="32">
        <f t="shared" si="15"/>
        <v>0.25067338065523237</v>
      </c>
      <c r="J39" s="32">
        <f t="shared" si="15"/>
        <v>0.18848020370875829</v>
      </c>
      <c r="K39" s="32">
        <f t="shared" si="15"/>
        <v>-2.9971131438908061E-2</v>
      </c>
      <c r="L39" s="32">
        <f t="shared" si="15"/>
        <v>0.34957492658474676</v>
      </c>
    </row>
    <row r="41" spans="1:12" x14ac:dyDescent="0.3">
      <c r="B41" s="8" t="s">
        <v>77</v>
      </c>
      <c r="C41" s="19">
        <f>IFERROR('Data Sheet'!B31/C36,0)</f>
        <v>5.3000417014178485</v>
      </c>
      <c r="D41" s="19">
        <f>IFERROR('Data Sheet'!C31/D36,0)</f>
        <v>6.0999791492910758</v>
      </c>
      <c r="E41" s="19">
        <f>IFERROR('Data Sheet'!D31/E36,0)</f>
        <v>7.5</v>
      </c>
      <c r="F41" s="19">
        <f>IFERROR('Data Sheet'!E31/F36,0)</f>
        <v>10.300041701417848</v>
      </c>
      <c r="G41" s="19">
        <f>IFERROR('Data Sheet'!F31/G36,0)</f>
        <v>8.6999582985821515</v>
      </c>
      <c r="H41" s="19">
        <f>IFERROR('Data Sheet'!G31/H36,0)</f>
        <v>10.5</v>
      </c>
      <c r="I41" s="19">
        <f>IFERROR('Data Sheet'!H31/I36,0)</f>
        <v>12</v>
      </c>
      <c r="J41" s="19">
        <f>IFERROR('Data Sheet'!I31/J36,0)</f>
        <v>17.849979149291077</v>
      </c>
      <c r="K41" s="19">
        <f>IFERROR('Data Sheet'!J31/K36,0)</f>
        <v>19.150020850708923</v>
      </c>
      <c r="L41" s="19">
        <f>IFERROR('Data Sheet'!K31/L36,0)</f>
        <v>25.650020850708923</v>
      </c>
    </row>
    <row r="42" spans="1:12" x14ac:dyDescent="0.3">
      <c r="B42" s="8" t="s">
        <v>78</v>
      </c>
      <c r="C42" s="16">
        <f>C41/C38</f>
        <v>0.44653491436100073</v>
      </c>
      <c r="D42" s="17">
        <f t="shared" ref="D42:L42" si="16">D41/D38</f>
        <v>0.45527120503583129</v>
      </c>
      <c r="E42" s="17">
        <f t="shared" si="16"/>
        <v>0.46234824578880013</v>
      </c>
      <c r="F42" s="17">
        <f t="shared" si="16"/>
        <v>0.5886614830041409</v>
      </c>
      <c r="G42" s="17">
        <f t="shared" si="16"/>
        <v>0.47384887939992359</v>
      </c>
      <c r="H42" s="17">
        <f t="shared" si="16"/>
        <v>0.52069256101785133</v>
      </c>
      <c r="I42" s="17">
        <f t="shared" si="16"/>
        <v>0.47580545152409576</v>
      </c>
      <c r="J42" s="17">
        <f t="shared" si="16"/>
        <v>0.59551667768077576</v>
      </c>
      <c r="K42" s="17">
        <f t="shared" si="16"/>
        <v>0.65862893654555732</v>
      </c>
      <c r="L42" s="17">
        <f t="shared" si="16"/>
        <v>0.65367560516170931</v>
      </c>
    </row>
    <row r="44" spans="1:12" ht="15" thickBot="1" x14ac:dyDescent="0.35">
      <c r="B44" s="35" t="s">
        <v>79</v>
      </c>
      <c r="C44" s="36">
        <f>IFERROR(IF(C38&gt;C41,1-C42,0),0)</f>
        <v>0.55346508563899932</v>
      </c>
      <c r="D44" s="36">
        <f t="shared" ref="D44:L44" si="17">IFERROR(IF(D38&gt;D41,1-D42,0),0)</f>
        <v>0.54472879496416871</v>
      </c>
      <c r="E44" s="36">
        <f t="shared" si="17"/>
        <v>0.53765175421119982</v>
      </c>
      <c r="F44" s="36">
        <f t="shared" si="17"/>
        <v>0.4113385169958591</v>
      </c>
      <c r="G44" s="36">
        <f t="shared" si="17"/>
        <v>0.52615112060007641</v>
      </c>
      <c r="H44" s="36">
        <f t="shared" si="17"/>
        <v>0.47930743898214867</v>
      </c>
      <c r="I44" s="36">
        <f t="shared" si="17"/>
        <v>0.5241945484759043</v>
      </c>
      <c r="J44" s="36">
        <f t="shared" si="17"/>
        <v>0.40448332231922424</v>
      </c>
      <c r="K44" s="36">
        <f t="shared" si="17"/>
        <v>0.34137106345444268</v>
      </c>
      <c r="L44" s="36">
        <f t="shared" si="17"/>
        <v>0.34632439483829069</v>
      </c>
    </row>
    <row r="45" spans="1:12" ht="15" thickTop="1" x14ac:dyDescent="0.3"/>
    <row r="46" spans="1:12" x14ac:dyDescent="0.3">
      <c r="A46" t="s">
        <v>56</v>
      </c>
      <c r="B46" s="74" t="s">
        <v>80</v>
      </c>
      <c r="C46" s="74"/>
      <c r="D46" s="74"/>
      <c r="E46" s="74"/>
      <c r="F46" s="74"/>
      <c r="G46" s="74"/>
      <c r="H46" s="74"/>
      <c r="I46" s="74"/>
      <c r="J46" s="74"/>
      <c r="K46" s="74"/>
      <c r="L46" s="74"/>
    </row>
    <row r="47" spans="1:12" x14ac:dyDescent="0.3">
      <c r="B47" s="4" t="s">
        <v>10</v>
      </c>
      <c r="C47" s="14">
        <f>IFERROR('Data Sheet'!B57,0)</f>
        <v>95.92</v>
      </c>
      <c r="D47" s="14">
        <f>IFERROR('Data Sheet'!C57,0)</f>
        <v>95.92</v>
      </c>
      <c r="E47" s="14">
        <f>IFERROR('Data Sheet'!D57,0)</f>
        <v>95.92</v>
      </c>
      <c r="F47" s="14">
        <f>IFERROR('Data Sheet'!E57,0)</f>
        <v>95.92</v>
      </c>
      <c r="G47" s="14">
        <f>IFERROR('Data Sheet'!F57,0)</f>
        <v>95.92</v>
      </c>
      <c r="H47" s="14">
        <f>IFERROR('Data Sheet'!G57,0)</f>
        <v>95.92</v>
      </c>
      <c r="I47" s="14">
        <f>IFERROR('Data Sheet'!H57,0)</f>
        <v>95.92</v>
      </c>
      <c r="J47" s="14">
        <f>IFERROR('Data Sheet'!I57,0)</f>
        <v>95.92</v>
      </c>
      <c r="K47" s="14">
        <f>IFERROR('Data Sheet'!J57,0)</f>
        <v>95.92</v>
      </c>
      <c r="L47" s="14">
        <f>IFERROR('Data Sheet'!K57,0)</f>
        <v>95.92</v>
      </c>
    </row>
    <row r="48" spans="1:12" x14ac:dyDescent="0.3">
      <c r="B48" s="4" t="s">
        <v>11</v>
      </c>
      <c r="C48" s="14">
        <f>IFERROR('Data Sheet'!B58,0)</f>
        <v>3943.3</v>
      </c>
      <c r="D48" s="14">
        <f>IFERROR('Data Sheet'!C58,0)</f>
        <v>4646.4399999999996</v>
      </c>
      <c r="E48" s="14">
        <f>IFERROR('Data Sheet'!D58,0)</f>
        <v>6428.9</v>
      </c>
      <c r="F48" s="14">
        <f>IFERROR('Data Sheet'!E58,0)</f>
        <v>7507.97</v>
      </c>
      <c r="G48" s="14">
        <f>IFERROR('Data Sheet'!F58,0)</f>
        <v>8314.31</v>
      </c>
      <c r="H48" s="14">
        <f>IFERROR('Data Sheet'!G58,0)</f>
        <v>9374.6299999999992</v>
      </c>
      <c r="I48" s="14">
        <f>IFERROR('Data Sheet'!H58,0)</f>
        <v>10034.24</v>
      </c>
      <c r="J48" s="14">
        <f>IFERROR('Data Sheet'!I58,0)</f>
        <v>12710.37</v>
      </c>
      <c r="K48" s="14">
        <f>IFERROR('Data Sheet'!J58,0)</f>
        <v>13715.64</v>
      </c>
      <c r="L48" s="14">
        <f>IFERROR('Data Sheet'!K58,0)</f>
        <v>15896.31</v>
      </c>
    </row>
    <row r="49" spans="2:12" x14ac:dyDescent="0.3">
      <c r="B49" s="4" t="s">
        <v>35</v>
      </c>
      <c r="C49" s="14">
        <f>IFERROR('Data Sheet'!B59,0)</f>
        <v>249.15</v>
      </c>
      <c r="D49" s="14">
        <f>IFERROR('Data Sheet'!C59,0)</f>
        <v>418.17</v>
      </c>
      <c r="E49" s="14">
        <f>IFERROR('Data Sheet'!D59,0)</f>
        <v>323.29000000000002</v>
      </c>
      <c r="F49" s="14">
        <f>IFERROR('Data Sheet'!E59,0)</f>
        <v>560.34</v>
      </c>
      <c r="G49" s="14">
        <f>IFERROR('Data Sheet'!F59,0)</f>
        <v>533.42999999999995</v>
      </c>
      <c r="H49" s="14">
        <f>IFERROR('Data Sheet'!G59,0)</f>
        <v>1319.6</v>
      </c>
      <c r="I49" s="14">
        <f>IFERROR('Data Sheet'!H59,0)</f>
        <v>1118.5</v>
      </c>
      <c r="J49" s="14">
        <f>IFERROR('Data Sheet'!I59,0)</f>
        <v>1093.1199999999999</v>
      </c>
      <c r="K49" s="14">
        <f>IFERROR('Data Sheet'!J59,0)</f>
        <v>1586.88</v>
      </c>
      <c r="L49" s="14">
        <f>IFERROR('Data Sheet'!K59,0)</f>
        <v>1932.62</v>
      </c>
    </row>
    <row r="50" spans="2:12" x14ac:dyDescent="0.3">
      <c r="B50" s="4" t="s">
        <v>36</v>
      </c>
      <c r="C50" s="14">
        <f>IFERROR('Data Sheet'!B60,0)</f>
        <v>3787.03</v>
      </c>
      <c r="D50" s="14">
        <f>IFERROR('Data Sheet'!C60,0)</f>
        <v>3753.97</v>
      </c>
      <c r="E50" s="14">
        <f>IFERROR('Data Sheet'!D60,0)</f>
        <v>3710.92</v>
      </c>
      <c r="F50" s="14">
        <f>IFERROR('Data Sheet'!E60,0)</f>
        <v>4240.96</v>
      </c>
      <c r="G50" s="14">
        <f>IFERROR('Data Sheet'!F60,0)</f>
        <v>4819.82</v>
      </c>
      <c r="H50" s="14">
        <f>IFERROR('Data Sheet'!G60,0)</f>
        <v>5458.69</v>
      </c>
      <c r="I50" s="14">
        <f>IFERROR('Data Sheet'!H60,0)</f>
        <v>4889.3100000000004</v>
      </c>
      <c r="J50" s="14">
        <f>IFERROR('Data Sheet'!I60,0)</f>
        <v>6455.93</v>
      </c>
      <c r="K50" s="14">
        <f>IFERROR('Data Sheet'!J60,0)</f>
        <v>7559.99</v>
      </c>
      <c r="L50" s="14">
        <f>IFERROR('Data Sheet'!K60,0)</f>
        <v>7854.48</v>
      </c>
    </row>
    <row r="51" spans="2:12" x14ac:dyDescent="0.3">
      <c r="B51" s="30" t="s">
        <v>83</v>
      </c>
      <c r="C51" s="28">
        <f>SUM(C47:C50)</f>
        <v>8075.4</v>
      </c>
      <c r="D51" s="28">
        <f t="shared" ref="D51:L51" si="18">SUM(D47:D50)</f>
        <v>8914.5</v>
      </c>
      <c r="E51" s="28">
        <f t="shared" si="18"/>
        <v>10559.029999999999</v>
      </c>
      <c r="F51" s="28">
        <f t="shared" si="18"/>
        <v>12405.19</v>
      </c>
      <c r="G51" s="28">
        <f t="shared" si="18"/>
        <v>13763.48</v>
      </c>
      <c r="H51" s="28">
        <f t="shared" si="18"/>
        <v>16248.84</v>
      </c>
      <c r="I51" s="28">
        <f t="shared" si="18"/>
        <v>16137.970000000001</v>
      </c>
      <c r="J51" s="28">
        <f t="shared" si="18"/>
        <v>20355.34</v>
      </c>
      <c r="K51" s="28">
        <f t="shared" si="18"/>
        <v>22958.43</v>
      </c>
      <c r="L51" s="28">
        <f t="shared" si="18"/>
        <v>25779.329999999998</v>
      </c>
    </row>
    <row r="53" spans="2:12" x14ac:dyDescent="0.3">
      <c r="B53" s="4" t="s">
        <v>85</v>
      </c>
      <c r="C53" s="14">
        <f>IFERROR('Data Sheet'!B62,0)</f>
        <v>2561.58</v>
      </c>
      <c r="D53" s="14">
        <f>IFERROR('Data Sheet'!C62,0)</f>
        <v>2660.04</v>
      </c>
      <c r="E53" s="14">
        <f>IFERROR('Data Sheet'!D62,0)</f>
        <v>3416.35</v>
      </c>
      <c r="F53" s="14">
        <f>IFERROR('Data Sheet'!E62,0)</f>
        <v>3303.74</v>
      </c>
      <c r="G53" s="14">
        <f>IFERROR('Data Sheet'!F62,0)</f>
        <v>3732.24</v>
      </c>
      <c r="H53" s="14">
        <f>IFERROR('Data Sheet'!G62,0)</f>
        <v>6496.56</v>
      </c>
      <c r="I53" s="14">
        <f>IFERROR('Data Sheet'!H62,0)</f>
        <v>6272.31</v>
      </c>
      <c r="J53" s="14">
        <f>IFERROR('Data Sheet'!I62,0)</f>
        <v>5858.52</v>
      </c>
      <c r="K53" s="14">
        <f>IFERROR('Data Sheet'!J62,0)</f>
        <v>5519.06</v>
      </c>
      <c r="L53" s="14">
        <f>IFERROR('Data Sheet'!K62,0)</f>
        <v>5770.46</v>
      </c>
    </row>
    <row r="54" spans="2:12" x14ac:dyDescent="0.3">
      <c r="B54" s="4" t="s">
        <v>14</v>
      </c>
      <c r="C54" s="14">
        <f>IFERROR('Data Sheet'!B63,0)</f>
        <v>71.599999999999994</v>
      </c>
      <c r="D54" s="14">
        <f>IFERROR('Data Sheet'!C63,0)</f>
        <v>196</v>
      </c>
      <c r="E54" s="14">
        <f>IFERROR('Data Sheet'!D63,0)</f>
        <v>106.59</v>
      </c>
      <c r="F54" s="14">
        <f>IFERROR('Data Sheet'!E63,0)</f>
        <v>257.54000000000002</v>
      </c>
      <c r="G54" s="14">
        <f>IFERROR('Data Sheet'!F63,0)</f>
        <v>1405.11</v>
      </c>
      <c r="H54" s="14">
        <f>IFERROR('Data Sheet'!G63,0)</f>
        <v>209.67</v>
      </c>
      <c r="I54" s="14">
        <f>IFERROR('Data Sheet'!H63,0)</f>
        <v>140.24</v>
      </c>
      <c r="J54" s="14">
        <f>IFERROR('Data Sheet'!I63,0)</f>
        <v>182.98</v>
      </c>
      <c r="K54" s="14">
        <f>IFERROR('Data Sheet'!J63,0)</f>
        <v>426.43</v>
      </c>
      <c r="L54" s="14">
        <f>IFERROR('Data Sheet'!K63,0)</f>
        <v>1019.59</v>
      </c>
    </row>
    <row r="55" spans="2:12" x14ac:dyDescent="0.3">
      <c r="B55" s="4" t="s">
        <v>15</v>
      </c>
      <c r="C55" s="14">
        <f>IFERROR('Data Sheet'!B64,0)</f>
        <v>1423.55</v>
      </c>
      <c r="D55" s="14">
        <f>IFERROR('Data Sheet'!C64,0)</f>
        <v>1587.79</v>
      </c>
      <c r="E55" s="14">
        <f>IFERROR('Data Sheet'!D64,0)</f>
        <v>2712.13</v>
      </c>
      <c r="F55" s="14">
        <f>IFERROR('Data Sheet'!E64,0)</f>
        <v>2651.99</v>
      </c>
      <c r="G55" s="14">
        <f>IFERROR('Data Sheet'!F64,0)</f>
        <v>2140.6999999999998</v>
      </c>
      <c r="H55" s="14">
        <f>IFERROR('Data Sheet'!G64,0)</f>
        <v>2568.58</v>
      </c>
      <c r="I55" s="14">
        <f>IFERROR('Data Sheet'!H64,0)</f>
        <v>2018.85</v>
      </c>
      <c r="J55" s="14">
        <f>IFERROR('Data Sheet'!I64,0)</f>
        <v>4736.8</v>
      </c>
      <c r="K55" s="14">
        <f>IFERROR('Data Sheet'!J64,0)</f>
        <v>3247.53</v>
      </c>
      <c r="L55" s="14">
        <f>IFERROR('Data Sheet'!K64,0)</f>
        <v>4261.71</v>
      </c>
    </row>
    <row r="56" spans="2:12" x14ac:dyDescent="0.3">
      <c r="B56" s="4" t="s">
        <v>37</v>
      </c>
      <c r="C56" s="14">
        <f>IFERROR('Data Sheet'!B65-SUM('Data Sheet'!B67:B69),0)</f>
        <v>609.51000000000022</v>
      </c>
      <c r="D56" s="14">
        <f>IFERROR('Data Sheet'!C65-SUM('Data Sheet'!C67:C69),0)</f>
        <v>825.69</v>
      </c>
      <c r="E56" s="14">
        <f>IFERROR('Data Sheet'!D65-SUM('Data Sheet'!D67:D69),0)</f>
        <v>714.68000000000029</v>
      </c>
      <c r="F56" s="14">
        <f>IFERROR('Data Sheet'!E65-SUM('Data Sheet'!E67:E69),0)</f>
        <v>1317.17</v>
      </c>
      <c r="G56" s="14">
        <f>IFERROR('Data Sheet'!F65-SUM('Data Sheet'!F67:F69),0)</f>
        <v>1691.8400000000001</v>
      </c>
      <c r="H56" s="14">
        <f>IFERROR('Data Sheet'!G65-SUM('Data Sheet'!G67:G69),0)</f>
        <v>1471.9599999999991</v>
      </c>
      <c r="I56" s="14">
        <f>IFERROR('Data Sheet'!H65-SUM('Data Sheet'!H67:H69),0)</f>
        <v>1738.71</v>
      </c>
      <c r="J56" s="14">
        <f>IFERROR('Data Sheet'!I65-SUM('Data Sheet'!I67:I69),0)</f>
        <v>2565.5200000000004</v>
      </c>
      <c r="K56" s="14">
        <f>IFERROR('Data Sheet'!J65-SUM('Data Sheet'!J67:J69),0)</f>
        <v>2876.66</v>
      </c>
      <c r="L56" s="14">
        <f>IFERROR('Data Sheet'!K65-SUM('Data Sheet'!K67:K69),0)</f>
        <v>3036.17</v>
      </c>
    </row>
    <row r="57" spans="2:12" x14ac:dyDescent="0.3">
      <c r="B57" s="30" t="s">
        <v>82</v>
      </c>
      <c r="C57" s="28">
        <f>SUM(C53:C56)</f>
        <v>4666.24</v>
      </c>
      <c r="D57" s="28">
        <f t="shared" ref="D57:L57" si="19">SUM(D53:D56)</f>
        <v>5269.52</v>
      </c>
      <c r="E57" s="28">
        <f t="shared" si="19"/>
        <v>6949.75</v>
      </c>
      <c r="F57" s="28">
        <f t="shared" si="19"/>
        <v>7530.44</v>
      </c>
      <c r="G57" s="28">
        <f t="shared" si="19"/>
        <v>8969.89</v>
      </c>
      <c r="H57" s="28">
        <f t="shared" si="19"/>
        <v>10746.77</v>
      </c>
      <c r="I57" s="28">
        <f t="shared" si="19"/>
        <v>10170.11</v>
      </c>
      <c r="J57" s="28">
        <f t="shared" si="19"/>
        <v>13343.82</v>
      </c>
      <c r="K57" s="28">
        <f t="shared" si="19"/>
        <v>12069.68</v>
      </c>
      <c r="L57" s="28">
        <f t="shared" si="19"/>
        <v>14087.93</v>
      </c>
    </row>
    <row r="59" spans="2:12" x14ac:dyDescent="0.3">
      <c r="B59" s="4" t="s">
        <v>42</v>
      </c>
      <c r="C59" s="14">
        <f>IFERROR('Data Sheet'!B67,0)</f>
        <v>1110.3</v>
      </c>
      <c r="D59" s="14">
        <f>IFERROR('Data Sheet'!C67,0)</f>
        <v>1182.07</v>
      </c>
      <c r="E59" s="14">
        <f>IFERROR('Data Sheet'!D67,0)</f>
        <v>1186.8399999999999</v>
      </c>
      <c r="F59" s="14">
        <f>IFERROR('Data Sheet'!E67,0)</f>
        <v>1446.6</v>
      </c>
      <c r="G59" s="14">
        <f>IFERROR('Data Sheet'!F67,0)</f>
        <v>1730.63</v>
      </c>
      <c r="H59" s="14">
        <f>IFERROR('Data Sheet'!G67,0)</f>
        <v>1907.33</v>
      </c>
      <c r="I59" s="14">
        <f>IFERROR('Data Sheet'!H67,0)</f>
        <v>1795.22</v>
      </c>
      <c r="J59" s="14">
        <f>IFERROR('Data Sheet'!I67,0)</f>
        <v>2602.17</v>
      </c>
      <c r="K59" s="14">
        <f>IFERROR('Data Sheet'!J67,0)</f>
        <v>3871.44</v>
      </c>
      <c r="L59" s="14">
        <f>IFERROR('Data Sheet'!K67,0)</f>
        <v>4636.9399999999996</v>
      </c>
    </row>
    <row r="60" spans="2:12" x14ac:dyDescent="0.3">
      <c r="B60" s="4" t="s">
        <v>29</v>
      </c>
      <c r="C60" s="14">
        <f>IFERROR('Data Sheet'!B68,0)</f>
        <v>2069.86</v>
      </c>
      <c r="D60" s="14">
        <f>IFERROR('Data Sheet'!C68,0)</f>
        <v>2258.52</v>
      </c>
      <c r="E60" s="14">
        <f>IFERROR('Data Sheet'!D68,0)</f>
        <v>1998.24</v>
      </c>
      <c r="F60" s="14">
        <f>IFERROR('Data Sheet'!E68,0)</f>
        <v>2626.94</v>
      </c>
      <c r="G60" s="14">
        <f>IFERROR('Data Sheet'!F68,0)</f>
        <v>2658.31</v>
      </c>
      <c r="H60" s="14">
        <f>IFERROR('Data Sheet'!G68,0)</f>
        <v>3149.86</v>
      </c>
      <c r="I60" s="14">
        <f>IFERROR('Data Sheet'!H68,0)</f>
        <v>3389.81</v>
      </c>
      <c r="J60" s="14">
        <f>IFERROR('Data Sheet'!I68,0)</f>
        <v>3798.6</v>
      </c>
      <c r="K60" s="14">
        <f>IFERROR('Data Sheet'!J68,0)</f>
        <v>6152.98</v>
      </c>
      <c r="L60" s="14">
        <f>IFERROR('Data Sheet'!K68,0)</f>
        <v>6210.64</v>
      </c>
    </row>
    <row r="61" spans="2:12" x14ac:dyDescent="0.3">
      <c r="B61" s="3" t="s">
        <v>51</v>
      </c>
      <c r="C61" s="14">
        <f>IFERROR('Data Sheet'!B69,0)</f>
        <v>229</v>
      </c>
      <c r="D61" s="14">
        <f>IFERROR('Data Sheet'!C69,0)</f>
        <v>204.39</v>
      </c>
      <c r="E61" s="14">
        <f>IFERROR('Data Sheet'!D69,0)</f>
        <v>424.2</v>
      </c>
      <c r="F61" s="14">
        <f>IFERROR('Data Sheet'!E69,0)</f>
        <v>801.21</v>
      </c>
      <c r="G61" s="14">
        <f>IFERROR('Data Sheet'!F69,0)</f>
        <v>404.65</v>
      </c>
      <c r="H61" s="14">
        <f>IFERROR('Data Sheet'!G69,0)</f>
        <v>444.88</v>
      </c>
      <c r="I61" s="14">
        <f>IFERROR('Data Sheet'!H69,0)</f>
        <v>782.83</v>
      </c>
      <c r="J61" s="14">
        <f>IFERROR('Data Sheet'!I69,0)</f>
        <v>610.75</v>
      </c>
      <c r="K61" s="14">
        <f>IFERROR('Data Sheet'!J69,0)</f>
        <v>864.33</v>
      </c>
      <c r="L61" s="14">
        <f>IFERROR('Data Sheet'!K69,0)</f>
        <v>843.82</v>
      </c>
    </row>
    <row r="62" spans="2:12" x14ac:dyDescent="0.3">
      <c r="B62" s="27" t="s">
        <v>84</v>
      </c>
      <c r="C62" s="28">
        <f>SUM(C59:C61)</f>
        <v>3409.16</v>
      </c>
      <c r="D62" s="28">
        <f t="shared" ref="D62:L62" si="20">SUM(D59:D61)</f>
        <v>3644.98</v>
      </c>
      <c r="E62" s="28">
        <f t="shared" si="20"/>
        <v>3609.2799999999997</v>
      </c>
      <c r="F62" s="28">
        <f t="shared" si="20"/>
        <v>4874.75</v>
      </c>
      <c r="G62" s="28">
        <f t="shared" si="20"/>
        <v>4793.59</v>
      </c>
      <c r="H62" s="28">
        <f t="shared" si="20"/>
        <v>5502.0700000000006</v>
      </c>
      <c r="I62" s="28">
        <f t="shared" si="20"/>
        <v>5967.86</v>
      </c>
      <c r="J62" s="28">
        <f t="shared" si="20"/>
        <v>7011.52</v>
      </c>
      <c r="K62" s="28">
        <f t="shared" si="20"/>
        <v>10888.75</v>
      </c>
      <c r="L62" s="28">
        <f t="shared" si="20"/>
        <v>11691.4</v>
      </c>
    </row>
    <row r="64" spans="2:12" x14ac:dyDescent="0.3">
      <c r="B64" s="27" t="s">
        <v>81</v>
      </c>
      <c r="C64" s="28">
        <f>C57+C62</f>
        <v>8075.4</v>
      </c>
      <c r="D64" s="28">
        <f t="shared" ref="D64:L64" si="21">D57+D62</f>
        <v>8914.5</v>
      </c>
      <c r="E64" s="28">
        <f t="shared" si="21"/>
        <v>10559.029999999999</v>
      </c>
      <c r="F64" s="28">
        <f t="shared" si="21"/>
        <v>12405.189999999999</v>
      </c>
      <c r="G64" s="28">
        <f t="shared" si="21"/>
        <v>13763.48</v>
      </c>
      <c r="H64" s="28">
        <f t="shared" si="21"/>
        <v>16248.84</v>
      </c>
      <c r="I64" s="28">
        <f t="shared" si="21"/>
        <v>16137.970000000001</v>
      </c>
      <c r="J64" s="28">
        <f t="shared" si="21"/>
        <v>20355.34</v>
      </c>
      <c r="K64" s="28">
        <f t="shared" si="21"/>
        <v>22958.43</v>
      </c>
      <c r="L64" s="28">
        <f t="shared" si="21"/>
        <v>25779.33</v>
      </c>
    </row>
    <row r="66" spans="1:14" ht="15" thickBot="1" x14ac:dyDescent="0.35">
      <c r="B66" s="40" t="s">
        <v>86</v>
      </c>
      <c r="C66" s="41" t="b">
        <f>C64=C51</f>
        <v>1</v>
      </c>
      <c r="D66" s="41" t="b">
        <f t="shared" ref="D66:L66" si="22">D64=D51</f>
        <v>1</v>
      </c>
      <c r="E66" s="41" t="b">
        <f t="shared" si="22"/>
        <v>1</v>
      </c>
      <c r="F66" s="41" t="b">
        <f t="shared" si="22"/>
        <v>1</v>
      </c>
      <c r="G66" s="41" t="b">
        <f t="shared" si="22"/>
        <v>1</v>
      </c>
      <c r="H66" s="41" t="b">
        <f t="shared" si="22"/>
        <v>1</v>
      </c>
      <c r="I66" s="41" t="b">
        <f t="shared" si="22"/>
        <v>1</v>
      </c>
      <c r="J66" s="41" t="b">
        <f t="shared" si="22"/>
        <v>1</v>
      </c>
      <c r="K66" s="41" t="b">
        <f t="shared" si="22"/>
        <v>1</v>
      </c>
      <c r="L66" s="41" t="b">
        <f t="shared" si="22"/>
        <v>1</v>
      </c>
    </row>
    <row r="67" spans="1:14" ht="15" thickTop="1" x14ac:dyDescent="0.3"/>
    <row r="68" spans="1:14" x14ac:dyDescent="0.3">
      <c r="A68" t="s">
        <v>56</v>
      </c>
      <c r="B68" s="74" t="s">
        <v>87</v>
      </c>
      <c r="C68" s="74"/>
      <c r="D68" s="74"/>
      <c r="E68" s="74"/>
      <c r="F68" s="74"/>
      <c r="G68" s="74"/>
      <c r="H68" s="74"/>
      <c r="I68" s="74"/>
      <c r="J68" s="74"/>
      <c r="K68" s="74"/>
      <c r="L68" s="74"/>
    </row>
    <row r="69" spans="1:14" x14ac:dyDescent="0.3">
      <c r="B69" s="2" t="s">
        <v>113</v>
      </c>
      <c r="N69" s="2"/>
    </row>
    <row r="70" spans="1:14" x14ac:dyDescent="0.3">
      <c r="B70" t="s">
        <v>89</v>
      </c>
      <c r="C70" s="18">
        <f>IFERROR('Cash Flow Data'!C4,0)</f>
        <v>2051</v>
      </c>
      <c r="D70" s="18">
        <f>IFERROR('Cash Flow Data'!D4,0)</f>
        <v>2271</v>
      </c>
      <c r="E70" s="18">
        <f>IFERROR('Cash Flow Data'!E4,0)</f>
        <v>2848</v>
      </c>
      <c r="F70" s="18">
        <f>IFERROR('Cash Flow Data'!F4,0)</f>
        <v>3056</v>
      </c>
      <c r="G70" s="18">
        <f>IFERROR('Cash Flow Data'!G4,0)</f>
        <v>3274</v>
      </c>
      <c r="H70" s="18">
        <f>IFERROR('Cash Flow Data'!H4,0)</f>
        <v>3861</v>
      </c>
      <c r="I70" s="18">
        <f>IFERROR('Cash Flow Data'!I4,0)</f>
        <v>4380</v>
      </c>
      <c r="J70" s="18">
        <f>IFERROR('Cash Flow Data'!J4,0)</f>
        <v>4970</v>
      </c>
      <c r="K70" s="18">
        <f>IFERROR('Cash Flow Data'!K4,0)</f>
        <v>4957</v>
      </c>
      <c r="L70" s="18">
        <f>IFERROR('Cash Flow Data'!L4,0)</f>
        <v>6460</v>
      </c>
    </row>
    <row r="71" spans="1:14" x14ac:dyDescent="0.3">
      <c r="B71" t="s">
        <v>42</v>
      </c>
      <c r="C71" s="18">
        <f>IFERROR('Cash Flow Data'!C5,0)</f>
        <v>-254</v>
      </c>
      <c r="D71" s="18">
        <f>IFERROR('Cash Flow Data'!D5,0)</f>
        <v>-155</v>
      </c>
      <c r="E71" s="18">
        <f>IFERROR('Cash Flow Data'!E5,0)</f>
        <v>-146</v>
      </c>
      <c r="F71" s="18">
        <f>IFERROR('Cash Flow Data'!F5,0)</f>
        <v>-475</v>
      </c>
      <c r="G71" s="18">
        <f>IFERROR('Cash Flow Data'!G5,0)</f>
        <v>-483</v>
      </c>
      <c r="H71" s="18">
        <f>IFERROR('Cash Flow Data'!H5,0)</f>
        <v>-205</v>
      </c>
      <c r="I71" s="18">
        <f>IFERROR('Cash Flow Data'!I5,0)</f>
        <v>160</v>
      </c>
      <c r="J71" s="18">
        <f>IFERROR('Cash Flow Data'!J5,0)</f>
        <v>-849</v>
      </c>
      <c r="K71" s="18">
        <f>IFERROR('Cash Flow Data'!K5,0)</f>
        <v>-1326</v>
      </c>
      <c r="L71" s="18">
        <f>IFERROR('Cash Flow Data'!L5,0)</f>
        <v>-834</v>
      </c>
    </row>
    <row r="72" spans="1:14" x14ac:dyDescent="0.3">
      <c r="B72" t="s">
        <v>29</v>
      </c>
      <c r="C72" s="18">
        <f>IFERROR('Cash Flow Data'!C6,0)</f>
        <v>-231</v>
      </c>
      <c r="D72" s="18">
        <f>IFERROR('Cash Flow Data'!D6,0)</f>
        <v>-144</v>
      </c>
      <c r="E72" s="18">
        <f>IFERROR('Cash Flow Data'!E6,0)</f>
        <v>202</v>
      </c>
      <c r="F72" s="18">
        <f>IFERROR('Cash Flow Data'!F6,0)</f>
        <v>-629</v>
      </c>
      <c r="G72" s="18">
        <f>IFERROR('Cash Flow Data'!G6,0)</f>
        <v>-39</v>
      </c>
      <c r="H72" s="18">
        <f>IFERROR('Cash Flow Data'!H6,0)</f>
        <v>-492</v>
      </c>
      <c r="I72" s="18">
        <f>IFERROR('Cash Flow Data'!I6,0)</f>
        <v>-251</v>
      </c>
      <c r="J72" s="18">
        <f>IFERROR('Cash Flow Data'!J6,0)</f>
        <v>-409</v>
      </c>
      <c r="K72" s="18">
        <f>IFERROR('Cash Flow Data'!K6,0)</f>
        <v>-2354</v>
      </c>
      <c r="L72" s="18">
        <f>IFERROR('Cash Flow Data'!L6,0)</f>
        <v>-56</v>
      </c>
    </row>
    <row r="73" spans="1:14" x14ac:dyDescent="0.3">
      <c r="B73" t="s">
        <v>90</v>
      </c>
      <c r="C73" s="18">
        <f>IFERROR('Cash Flow Data'!C7,0)</f>
        <v>317</v>
      </c>
      <c r="D73" s="18">
        <f>IFERROR('Cash Flow Data'!D7,0)</f>
        <v>-151</v>
      </c>
      <c r="E73" s="18">
        <f>IFERROR('Cash Flow Data'!E7,0)</f>
        <v>142</v>
      </c>
      <c r="F73" s="18">
        <f>IFERROR('Cash Flow Data'!F7,0)</f>
        <v>501</v>
      </c>
      <c r="G73" s="18">
        <f>IFERROR('Cash Flow Data'!G7,0)</f>
        <v>442</v>
      </c>
      <c r="H73" s="18">
        <f>IFERROR('Cash Flow Data'!H7,0)</f>
        <v>287</v>
      </c>
      <c r="I73" s="18">
        <f>IFERROR('Cash Flow Data'!I7,0)</f>
        <v>-241</v>
      </c>
      <c r="J73" s="18">
        <f>IFERROR('Cash Flow Data'!J7,0)</f>
        <v>1143</v>
      </c>
      <c r="K73" s="18">
        <f>IFERROR('Cash Flow Data'!K7,0)</f>
        <v>644</v>
      </c>
      <c r="L73" s="18">
        <f>IFERROR('Cash Flow Data'!L7,0)</f>
        <v>-539</v>
      </c>
    </row>
    <row r="74" spans="1:14" x14ac:dyDescent="0.3">
      <c r="B74" t="s">
        <v>91</v>
      </c>
      <c r="C74" s="18">
        <f>IFERROR('Cash Flow Data'!C8,0)</f>
        <v>0</v>
      </c>
      <c r="D74" s="18">
        <f>IFERROR('Cash Flow Data'!D8,0)</f>
        <v>0</v>
      </c>
      <c r="E74" s="18">
        <f>IFERROR('Cash Flow Data'!E8,0)</f>
        <v>0</v>
      </c>
      <c r="F74" s="18">
        <f>IFERROR('Cash Flow Data'!F8,0)</f>
        <v>0</v>
      </c>
      <c r="G74" s="18">
        <f>IFERROR('Cash Flow Data'!G8,0)</f>
        <v>0</v>
      </c>
      <c r="H74" s="18">
        <f>IFERROR('Cash Flow Data'!H8,0)</f>
        <v>0</v>
      </c>
      <c r="I74" s="18">
        <f>IFERROR('Cash Flow Data'!I8,0)</f>
        <v>0</v>
      </c>
      <c r="J74" s="18">
        <f>IFERROR('Cash Flow Data'!J8,0)</f>
        <v>-92</v>
      </c>
      <c r="K74" s="18">
        <f>IFERROR('Cash Flow Data'!K8,0)</f>
        <v>242</v>
      </c>
      <c r="L74" s="18">
        <f>IFERROR('Cash Flow Data'!L8,0)</f>
        <v>657</v>
      </c>
    </row>
    <row r="75" spans="1:14" x14ac:dyDescent="0.3">
      <c r="B75" t="s">
        <v>92</v>
      </c>
      <c r="C75" s="18">
        <f>IFERROR('Cash Flow Data'!C9,0)</f>
        <v>-168</v>
      </c>
      <c r="D75" s="18">
        <f>IFERROR('Cash Flow Data'!D9,0)</f>
        <v>-450</v>
      </c>
      <c r="E75" s="18">
        <f>IFERROR('Cash Flow Data'!E9,0)</f>
        <v>198</v>
      </c>
      <c r="F75" s="18">
        <f>IFERROR('Cash Flow Data'!F9,0)</f>
        <v>-603</v>
      </c>
      <c r="G75" s="18">
        <f>IFERROR('Cash Flow Data'!G9,0)</f>
        <v>-80</v>
      </c>
      <c r="H75" s="18">
        <f>IFERROR('Cash Flow Data'!H9,0)</f>
        <v>-410</v>
      </c>
      <c r="I75" s="18">
        <f>IFERROR('Cash Flow Data'!I9,0)</f>
        <v>-331</v>
      </c>
      <c r="J75" s="18">
        <f>IFERROR('Cash Flow Data'!J9,0)</f>
        <v>-206</v>
      </c>
      <c r="K75" s="18">
        <f>IFERROR('Cash Flow Data'!K9,0)</f>
        <v>-2795</v>
      </c>
      <c r="L75" s="18">
        <f>IFERROR('Cash Flow Data'!L9,0)</f>
        <v>-772</v>
      </c>
    </row>
    <row r="76" spans="1:14" x14ac:dyDescent="0.3">
      <c r="B76" t="s">
        <v>93</v>
      </c>
      <c r="C76" s="18">
        <f>IFERROR('Cash Flow Data'!C10,0)</f>
        <v>-480</v>
      </c>
      <c r="D76" s="18">
        <f>IFERROR('Cash Flow Data'!D10,0)</f>
        <v>-633</v>
      </c>
      <c r="E76" s="18">
        <f>IFERROR('Cash Flow Data'!E10,0)</f>
        <v>-802</v>
      </c>
      <c r="F76" s="18">
        <f>IFERROR('Cash Flow Data'!F10,0)</f>
        <v>-925</v>
      </c>
      <c r="G76" s="18">
        <f>IFERROR('Cash Flow Data'!G10,0)</f>
        <v>-1081</v>
      </c>
      <c r="H76" s="18">
        <f>IFERROR('Cash Flow Data'!H10,0)</f>
        <v>-982</v>
      </c>
      <c r="I76" s="18">
        <f>IFERROR('Cash Flow Data'!I10,0)</f>
        <v>-1011</v>
      </c>
      <c r="J76" s="18">
        <f>IFERROR('Cash Flow Data'!J10,0)</f>
        <v>-1080</v>
      </c>
      <c r="K76" s="18">
        <f>IFERROR('Cash Flow Data'!K10,0)</f>
        <v>-1176</v>
      </c>
      <c r="L76" s="18">
        <f>IFERROR('Cash Flow Data'!L10,0)</f>
        <v>-1494</v>
      </c>
    </row>
    <row r="77" spans="1:14" x14ac:dyDescent="0.3">
      <c r="B77" t="s">
        <v>165</v>
      </c>
      <c r="C77" s="18">
        <f>IFERROR('Cash Flow Data'!C11,0)</f>
        <v>0</v>
      </c>
      <c r="D77" s="18">
        <f>IFERROR('Cash Flow Data'!D11,0)</f>
        <v>0</v>
      </c>
      <c r="E77" s="18">
        <f>IFERROR('Cash Flow Data'!E11,0)</f>
        <v>0</v>
      </c>
      <c r="F77" s="18">
        <f>IFERROR('Cash Flow Data'!F11,0)</f>
        <v>0</v>
      </c>
      <c r="G77" s="18">
        <f>IFERROR('Cash Flow Data'!G11,0)</f>
        <v>0</v>
      </c>
      <c r="H77" s="18">
        <f>IFERROR('Cash Flow Data'!H11,0)</f>
        <v>0</v>
      </c>
      <c r="I77" s="18">
        <f>IFERROR('Cash Flow Data'!I11,0)</f>
        <v>0</v>
      </c>
      <c r="J77" s="18">
        <f>IFERROR('Cash Flow Data'!J11,0)</f>
        <v>0</v>
      </c>
      <c r="K77" s="18">
        <f>IFERROR('Cash Flow Data'!K11,0)</f>
        <v>0</v>
      </c>
      <c r="L77" s="18">
        <f>IFERROR('Cash Flow Data'!L11,0)</f>
        <v>0</v>
      </c>
    </row>
    <row r="78" spans="1:14" x14ac:dyDescent="0.3">
      <c r="B78" s="22" t="s">
        <v>112</v>
      </c>
      <c r="C78" s="26">
        <f>SUM(C70:C77)</f>
        <v>1235</v>
      </c>
      <c r="D78" s="26">
        <f t="shared" ref="D78:L78" si="23">SUM(D70:D77)</f>
        <v>738</v>
      </c>
      <c r="E78" s="26">
        <f t="shared" si="23"/>
        <v>2442</v>
      </c>
      <c r="F78" s="26">
        <f t="shared" si="23"/>
        <v>925</v>
      </c>
      <c r="G78" s="26">
        <f t="shared" si="23"/>
        <v>2033</v>
      </c>
      <c r="H78" s="26">
        <f t="shared" si="23"/>
        <v>2059</v>
      </c>
      <c r="I78" s="26">
        <f t="shared" si="23"/>
        <v>2706</v>
      </c>
      <c r="J78" s="26">
        <f t="shared" si="23"/>
        <v>3477</v>
      </c>
      <c r="K78" s="26">
        <f t="shared" si="23"/>
        <v>-1808</v>
      </c>
      <c r="L78" s="26">
        <f t="shared" si="23"/>
        <v>3422</v>
      </c>
    </row>
    <row r="80" spans="1:14" x14ac:dyDescent="0.3">
      <c r="B80" s="2" t="s">
        <v>115</v>
      </c>
      <c r="N80" s="2"/>
    </row>
    <row r="81" spans="2:14" x14ac:dyDescent="0.3">
      <c r="B81" t="s">
        <v>95</v>
      </c>
      <c r="C81" s="18">
        <f>IFERROR('Cash Flow Data'!C14,0)</f>
        <v>-251</v>
      </c>
      <c r="D81" s="18">
        <f>IFERROR('Cash Flow Data'!D14,0)</f>
        <v>-454</v>
      </c>
      <c r="E81" s="18">
        <f>IFERROR('Cash Flow Data'!E14,0)</f>
        <v>-817</v>
      </c>
      <c r="F81" s="18">
        <f>IFERROR('Cash Flow Data'!F14,0)</f>
        <v>-684</v>
      </c>
      <c r="G81" s="18">
        <f>IFERROR('Cash Flow Data'!G14,0)</f>
        <v>-1426</v>
      </c>
      <c r="H81" s="18">
        <f>IFERROR('Cash Flow Data'!H14,0)</f>
        <v>-1151</v>
      </c>
      <c r="I81" s="18">
        <f>IFERROR('Cash Flow Data'!I14,0)</f>
        <v>-404</v>
      </c>
      <c r="J81" s="18">
        <f>IFERROR('Cash Flow Data'!J14,0)</f>
        <v>-282</v>
      </c>
      <c r="K81" s="18">
        <f>IFERROR('Cash Flow Data'!K14,0)</f>
        <v>-551</v>
      </c>
      <c r="L81" s="18">
        <f>IFERROR('Cash Flow Data'!L14,0)</f>
        <v>-1446</v>
      </c>
    </row>
    <row r="82" spans="2:14" x14ac:dyDescent="0.3">
      <c r="B82" t="s">
        <v>96</v>
      </c>
      <c r="C82" s="18">
        <f>IFERROR('Cash Flow Data'!C15,0)</f>
        <v>16</v>
      </c>
      <c r="D82" s="18">
        <f>IFERROR('Cash Flow Data'!D15,0)</f>
        <v>16</v>
      </c>
      <c r="E82" s="18">
        <f>IFERROR('Cash Flow Data'!E15,0)</f>
        <v>15</v>
      </c>
      <c r="F82" s="18">
        <f>IFERROR('Cash Flow Data'!F15,0)</f>
        <v>17</v>
      </c>
      <c r="G82" s="18">
        <f>IFERROR('Cash Flow Data'!G15,0)</f>
        <v>17</v>
      </c>
      <c r="H82" s="18">
        <f>IFERROR('Cash Flow Data'!H15,0)</f>
        <v>17</v>
      </c>
      <c r="I82" s="18">
        <f>IFERROR('Cash Flow Data'!I15,0)</f>
        <v>37</v>
      </c>
      <c r="J82" s="18">
        <f>IFERROR('Cash Flow Data'!J15,0)</f>
        <v>28</v>
      </c>
      <c r="K82" s="18">
        <f>IFERROR('Cash Flow Data'!K15,0)</f>
        <v>40</v>
      </c>
      <c r="L82" s="18">
        <f>IFERROR('Cash Flow Data'!L15,0)</f>
        <v>26</v>
      </c>
    </row>
    <row r="83" spans="2:14" x14ac:dyDescent="0.3">
      <c r="B83" t="s">
        <v>97</v>
      </c>
      <c r="C83" s="18">
        <f>IFERROR('Cash Flow Data'!C16,0)</f>
        <v>-872</v>
      </c>
      <c r="D83" s="18">
        <f>IFERROR('Cash Flow Data'!D16,0)</f>
        <v>-243</v>
      </c>
      <c r="E83" s="18">
        <f>IFERROR('Cash Flow Data'!E16,0)</f>
        <v>-282</v>
      </c>
      <c r="F83" s="18">
        <f>IFERROR('Cash Flow Data'!F16,0)</f>
        <v>-153</v>
      </c>
      <c r="G83" s="18">
        <f>IFERROR('Cash Flow Data'!G16,0)</f>
        <v>-320</v>
      </c>
      <c r="H83" s="18">
        <f>IFERROR('Cash Flow Data'!H16,0)</f>
        <v>-573</v>
      </c>
      <c r="I83" s="18">
        <f>IFERROR('Cash Flow Data'!I16,0)</f>
        <v>-25</v>
      </c>
      <c r="J83" s="18">
        <f>IFERROR('Cash Flow Data'!J16,0)</f>
        <v>-140</v>
      </c>
      <c r="K83" s="18">
        <f>IFERROR('Cash Flow Data'!K16,0)</f>
        <v>0</v>
      </c>
      <c r="L83" s="18">
        <f>IFERROR('Cash Flow Data'!L16,0)</f>
        <v>-146</v>
      </c>
    </row>
    <row r="84" spans="2:14" x14ac:dyDescent="0.3">
      <c r="B84" t="s">
        <v>98</v>
      </c>
      <c r="C84" s="18">
        <f>IFERROR('Cash Flow Data'!C17,0)</f>
        <v>463</v>
      </c>
      <c r="D84" s="18">
        <f>IFERROR('Cash Flow Data'!D17,0)</f>
        <v>278</v>
      </c>
      <c r="E84" s="18">
        <f>IFERROR('Cash Flow Data'!E17,0)</f>
        <v>205</v>
      </c>
      <c r="F84" s="18">
        <f>IFERROR('Cash Flow Data'!F17,0)</f>
        <v>357</v>
      </c>
      <c r="G84" s="18">
        <f>IFERROR('Cash Flow Data'!G17,0)</f>
        <v>362</v>
      </c>
      <c r="H84" s="18">
        <f>IFERROR('Cash Flow Data'!H17,0)</f>
        <v>733</v>
      </c>
      <c r="I84" s="18">
        <f>IFERROR('Cash Flow Data'!I17,0)</f>
        <v>134</v>
      </c>
      <c r="J84" s="18">
        <f>IFERROR('Cash Flow Data'!J17,0)</f>
        <v>272</v>
      </c>
      <c r="K84" s="18">
        <f>IFERROR('Cash Flow Data'!K17,0)</f>
        <v>207</v>
      </c>
      <c r="L84" s="18">
        <f>IFERROR('Cash Flow Data'!L17,0)</f>
        <v>446</v>
      </c>
    </row>
    <row r="85" spans="2:14" x14ac:dyDescent="0.3">
      <c r="B85" t="s">
        <v>99</v>
      </c>
      <c r="C85" s="18">
        <f>IFERROR('Cash Flow Data'!C18,0)</f>
        <v>14</v>
      </c>
      <c r="D85" s="18">
        <f>IFERROR('Cash Flow Data'!D18,0)</f>
        <v>11</v>
      </c>
      <c r="E85" s="18">
        <f>IFERROR('Cash Flow Data'!E18,0)</f>
        <v>15</v>
      </c>
      <c r="F85" s="18">
        <f>IFERROR('Cash Flow Data'!F18,0)</f>
        <v>32</v>
      </c>
      <c r="G85" s="18">
        <f>IFERROR('Cash Flow Data'!G18,0)</f>
        <v>39</v>
      </c>
      <c r="H85" s="18">
        <f>IFERROR('Cash Flow Data'!H18,0)</f>
        <v>40</v>
      </c>
      <c r="I85" s="18">
        <f>IFERROR('Cash Flow Data'!I18,0)</f>
        <v>65</v>
      </c>
      <c r="J85" s="18">
        <f>IFERROR('Cash Flow Data'!J18,0)</f>
        <v>73</v>
      </c>
      <c r="K85" s="18">
        <f>IFERROR('Cash Flow Data'!K18,0)</f>
        <v>77</v>
      </c>
      <c r="L85" s="18">
        <f>IFERROR('Cash Flow Data'!L18,0)</f>
        <v>87</v>
      </c>
    </row>
    <row r="86" spans="2:14" x14ac:dyDescent="0.3">
      <c r="B86" t="s">
        <v>100</v>
      </c>
      <c r="C86" s="18">
        <f>IFERROR('Cash Flow Data'!C19,0)</f>
        <v>65</v>
      </c>
      <c r="D86" s="18">
        <f>IFERROR('Cash Flow Data'!D19,0)</f>
        <v>71</v>
      </c>
      <c r="E86" s="18">
        <f>IFERROR('Cash Flow Data'!E19,0)</f>
        <v>69</v>
      </c>
      <c r="F86" s="18">
        <f>IFERROR('Cash Flow Data'!F19,0)</f>
        <v>74</v>
      </c>
      <c r="G86" s="18">
        <f>IFERROR('Cash Flow Data'!G19,0)</f>
        <v>38</v>
      </c>
      <c r="H86" s="18">
        <f>IFERROR('Cash Flow Data'!H19,0)</f>
        <v>40</v>
      </c>
      <c r="I86" s="18">
        <f>IFERROR('Cash Flow Data'!I19,0)</f>
        <v>27</v>
      </c>
      <c r="J86" s="18">
        <f>IFERROR('Cash Flow Data'!J19,0)</f>
        <v>8</v>
      </c>
      <c r="K86" s="18">
        <f>IFERROR('Cash Flow Data'!K19,0)</f>
        <v>15</v>
      </c>
      <c r="L86" s="18">
        <f>IFERROR('Cash Flow Data'!L19,0)</f>
        <v>56</v>
      </c>
    </row>
    <row r="87" spans="2:14" x14ac:dyDescent="0.3">
      <c r="B87" t="s">
        <v>101</v>
      </c>
      <c r="C87" s="18">
        <f>IFERROR('Cash Flow Data'!C20,0)</f>
        <v>0</v>
      </c>
      <c r="D87" s="18">
        <f>IFERROR('Cash Flow Data'!D20,0)</f>
        <v>0</v>
      </c>
      <c r="E87" s="18">
        <f>IFERROR('Cash Flow Data'!E20,0)</f>
        <v>0</v>
      </c>
      <c r="F87" s="18">
        <f>IFERROR('Cash Flow Data'!F20,0)</f>
        <v>0</v>
      </c>
      <c r="G87" s="18">
        <f>IFERROR('Cash Flow Data'!G20,0)</f>
        <v>0</v>
      </c>
      <c r="H87" s="18">
        <f>IFERROR('Cash Flow Data'!H20,0)</f>
        <v>0</v>
      </c>
      <c r="I87" s="18">
        <f>IFERROR('Cash Flow Data'!I20,0)</f>
        <v>0</v>
      </c>
      <c r="J87" s="18">
        <f>IFERROR('Cash Flow Data'!J20,0)</f>
        <v>0</v>
      </c>
      <c r="K87" s="18">
        <f>IFERROR('Cash Flow Data'!K20,0)</f>
        <v>0</v>
      </c>
      <c r="L87" s="18">
        <f>IFERROR('Cash Flow Data'!L20,0)</f>
        <v>-180</v>
      </c>
    </row>
    <row r="88" spans="2:14" x14ac:dyDescent="0.3">
      <c r="B88" t="s">
        <v>102</v>
      </c>
      <c r="C88" s="18">
        <f>IFERROR('Cash Flow Data'!C21,0)</f>
        <v>0</v>
      </c>
      <c r="D88" s="18">
        <f>IFERROR('Cash Flow Data'!D21,0)</f>
        <v>0</v>
      </c>
      <c r="E88" s="18">
        <f>IFERROR('Cash Flow Data'!E21,0)</f>
        <v>0</v>
      </c>
      <c r="F88" s="18">
        <f>IFERROR('Cash Flow Data'!F21,0)</f>
        <v>0</v>
      </c>
      <c r="G88" s="18">
        <f>IFERROR('Cash Flow Data'!G21,0)</f>
        <v>141</v>
      </c>
      <c r="H88" s="18">
        <f>IFERROR('Cash Flow Data'!H21,0)</f>
        <v>0</v>
      </c>
      <c r="I88" s="18">
        <f>IFERROR('Cash Flow Data'!I21,0)</f>
        <v>0</v>
      </c>
      <c r="J88" s="18">
        <f>IFERROR('Cash Flow Data'!J21,0)</f>
        <v>0</v>
      </c>
      <c r="K88" s="18">
        <f>IFERROR('Cash Flow Data'!K21,0)</f>
        <v>0</v>
      </c>
      <c r="L88" s="18">
        <f>IFERROR('Cash Flow Data'!L21,0)</f>
        <v>0</v>
      </c>
    </row>
    <row r="89" spans="2:14" x14ac:dyDescent="0.3">
      <c r="B89" t="s">
        <v>103</v>
      </c>
      <c r="C89" s="18">
        <f>IFERROR('Cash Flow Data'!C22,0)</f>
        <v>0</v>
      </c>
      <c r="D89" s="18">
        <f>IFERROR('Cash Flow Data'!D22,0)</f>
        <v>0</v>
      </c>
      <c r="E89" s="18">
        <f>IFERROR('Cash Flow Data'!E22,0)</f>
        <v>0</v>
      </c>
      <c r="F89" s="18">
        <f>IFERROR('Cash Flow Data'!F22,0)</f>
        <v>0</v>
      </c>
      <c r="G89" s="18">
        <f>IFERROR('Cash Flow Data'!G22,0)</f>
        <v>-525</v>
      </c>
      <c r="H89" s="18">
        <f>IFERROR('Cash Flow Data'!H22,0)</f>
        <v>0</v>
      </c>
      <c r="I89" s="18">
        <f>IFERROR('Cash Flow Data'!I22,0)</f>
        <v>0</v>
      </c>
      <c r="J89" s="18">
        <f>IFERROR('Cash Flow Data'!J22,0)</f>
        <v>0</v>
      </c>
      <c r="K89" s="18">
        <f>IFERROR('Cash Flow Data'!K22,0)</f>
        <v>0</v>
      </c>
      <c r="L89" s="18">
        <f>IFERROR('Cash Flow Data'!L22,0)</f>
        <v>0</v>
      </c>
    </row>
    <row r="90" spans="2:14" x14ac:dyDescent="0.3">
      <c r="B90" t="s">
        <v>104</v>
      </c>
      <c r="C90" s="18">
        <f>IFERROR('Cash Flow Data'!C23,0)</f>
        <v>-21</v>
      </c>
      <c r="D90" s="18">
        <f>IFERROR('Cash Flow Data'!D23,0)</f>
        <v>-144</v>
      </c>
      <c r="E90" s="18">
        <f>IFERROR('Cash Flow Data'!E23,0)</f>
        <v>-70</v>
      </c>
      <c r="F90" s="18">
        <f>IFERROR('Cash Flow Data'!F23,0)</f>
        <v>-324</v>
      </c>
      <c r="G90" s="18">
        <f>IFERROR('Cash Flow Data'!G23,0)</f>
        <v>118</v>
      </c>
      <c r="H90" s="18">
        <f>IFERROR('Cash Flow Data'!H23,0)</f>
        <v>-24</v>
      </c>
      <c r="I90" s="18">
        <f>IFERROR('Cash Flow Data'!I23,0)</f>
        <v>-353</v>
      </c>
      <c r="J90" s="18">
        <f>IFERROR('Cash Flow Data'!J23,0)</f>
        <v>-500</v>
      </c>
      <c r="K90" s="18">
        <f>IFERROR('Cash Flow Data'!K23,0)</f>
        <v>-105</v>
      </c>
      <c r="L90" s="18">
        <f>IFERROR('Cash Flow Data'!L23,0)</f>
        <v>-126</v>
      </c>
    </row>
    <row r="91" spans="2:14" x14ac:dyDescent="0.3">
      <c r="B91" s="22" t="s">
        <v>114</v>
      </c>
      <c r="C91" s="26">
        <f>SUM(C81:C90)</f>
        <v>-586</v>
      </c>
      <c r="D91" s="26">
        <f>SUM(D81:D90)</f>
        <v>-465</v>
      </c>
      <c r="E91" s="26">
        <f>SUM(E81:E90)</f>
        <v>-865</v>
      </c>
      <c r="F91" s="26">
        <f>SUM(F81:F90)</f>
        <v>-681</v>
      </c>
      <c r="G91" s="26">
        <f>SUM(G81:G90)</f>
        <v>-1556</v>
      </c>
      <c r="H91" s="26">
        <f>SUM(H81:H90)</f>
        <v>-918</v>
      </c>
      <c r="I91" s="26">
        <f>SUM(I81:I90)</f>
        <v>-519</v>
      </c>
      <c r="J91" s="26">
        <f>SUM(J81:J90)</f>
        <v>-541</v>
      </c>
      <c r="K91" s="26">
        <f>SUM(K81:K90)</f>
        <v>-317</v>
      </c>
      <c r="L91" s="26">
        <f>SUM(L81:L90)</f>
        <v>-1283</v>
      </c>
    </row>
    <row r="93" spans="2:14" x14ac:dyDescent="0.3">
      <c r="B93" s="2" t="s">
        <v>116</v>
      </c>
      <c r="N93" s="2"/>
    </row>
    <row r="94" spans="2:14" x14ac:dyDescent="0.3">
      <c r="B94" t="s">
        <v>106</v>
      </c>
      <c r="C94" s="18">
        <f>IFERROR('Cash Flow Data'!C26,0)</f>
        <v>44</v>
      </c>
      <c r="D94" s="18">
        <f>IFERROR('Cash Flow Data'!D26,0)</f>
        <v>239</v>
      </c>
      <c r="E94" s="18">
        <f>IFERROR('Cash Flow Data'!E26,0)</f>
        <v>8</v>
      </c>
      <c r="F94" s="18">
        <f>IFERROR('Cash Flow Data'!F26,0)</f>
        <v>271</v>
      </c>
      <c r="G94" s="18">
        <f>IFERROR('Cash Flow Data'!G26,0)</f>
        <v>10</v>
      </c>
      <c r="H94" s="18">
        <f>IFERROR('Cash Flow Data'!H26,0)</f>
        <v>243</v>
      </c>
      <c r="I94" s="18">
        <f>IFERROR('Cash Flow Data'!I26,0)</f>
        <v>18</v>
      </c>
      <c r="J94" s="18">
        <f>IFERROR('Cash Flow Data'!J26,0)</f>
        <v>155</v>
      </c>
      <c r="K94" s="18">
        <f>IFERROR('Cash Flow Data'!K26,0)</f>
        <v>418</v>
      </c>
      <c r="L94" s="18">
        <f>IFERROR('Cash Flow Data'!L26,0)</f>
        <v>254</v>
      </c>
    </row>
    <row r="95" spans="2:14" x14ac:dyDescent="0.3">
      <c r="B95" s="79" t="s">
        <v>107</v>
      </c>
      <c r="C95" s="18">
        <f>IFERROR('Cash Flow Data'!C27,0)</f>
        <v>-81</v>
      </c>
      <c r="D95" s="18">
        <f>IFERROR('Cash Flow Data'!D27,0)</f>
        <v>-86</v>
      </c>
      <c r="E95" s="18">
        <f>IFERROR('Cash Flow Data'!E27,0)</f>
        <v>-119</v>
      </c>
      <c r="F95" s="18">
        <f>IFERROR('Cash Flow Data'!F27,0)</f>
        <v>-58</v>
      </c>
      <c r="G95" s="18">
        <f>IFERROR('Cash Flow Data'!G27,0)</f>
        <v>-54</v>
      </c>
      <c r="H95" s="18">
        <f>IFERROR('Cash Flow Data'!H27,0)</f>
        <v>-26</v>
      </c>
      <c r="I95" s="18">
        <f>IFERROR('Cash Flow Data'!I27,0)</f>
        <v>-279</v>
      </c>
      <c r="J95" s="18">
        <f>IFERROR('Cash Flow Data'!J27,0)</f>
        <v>-14</v>
      </c>
      <c r="K95" s="18">
        <f>IFERROR('Cash Flow Data'!K27,0)</f>
        <v>-8</v>
      </c>
      <c r="L95" s="18">
        <f>IFERROR('Cash Flow Data'!L27,0)</f>
        <v>-25</v>
      </c>
    </row>
    <row r="96" spans="2:14" x14ac:dyDescent="0.3">
      <c r="B96" t="s">
        <v>108</v>
      </c>
      <c r="C96" s="18">
        <f>IFERROR('Cash Flow Data'!C28,0)</f>
        <v>-42</v>
      </c>
      <c r="D96" s="18">
        <f>IFERROR('Cash Flow Data'!D28,0)</f>
        <v>-35</v>
      </c>
      <c r="E96" s="18">
        <f>IFERROR('Cash Flow Data'!E28,0)</f>
        <v>-40</v>
      </c>
      <c r="F96" s="18">
        <f>IFERROR('Cash Flow Data'!F28,0)</f>
        <v>-36</v>
      </c>
      <c r="G96" s="18">
        <f>IFERROR('Cash Flow Data'!G28,0)</f>
        <v>-35</v>
      </c>
      <c r="H96" s="18">
        <f>IFERROR('Cash Flow Data'!H28,0)</f>
        <v>-106</v>
      </c>
      <c r="I96" s="18">
        <f>IFERROR('Cash Flow Data'!I28,0)</f>
        <v>-101</v>
      </c>
      <c r="J96" s="18">
        <f>IFERROR('Cash Flow Data'!J28,0)</f>
        <v>-89</v>
      </c>
      <c r="K96" s="18">
        <f>IFERROR('Cash Flow Data'!K28,0)</f>
        <v>-94</v>
      </c>
      <c r="L96" s="18">
        <f>IFERROR('Cash Flow Data'!L28,0)</f>
        <v>-142</v>
      </c>
    </row>
    <row r="97" spans="1:12" x14ac:dyDescent="0.3">
      <c r="B97" t="s">
        <v>109</v>
      </c>
      <c r="C97" s="18">
        <f>IFERROR('Cash Flow Data'!C29,0)</f>
        <v>-547</v>
      </c>
      <c r="D97" s="18">
        <f>IFERROR('Cash Flow Data'!D29,0)</f>
        <v>-695</v>
      </c>
      <c r="E97" s="18">
        <f>IFERROR('Cash Flow Data'!E29,0)</f>
        <v>-764</v>
      </c>
      <c r="F97" s="18">
        <f>IFERROR('Cash Flow Data'!F29,0)</f>
        <v>-947</v>
      </c>
      <c r="G97" s="18">
        <f>IFERROR('Cash Flow Data'!G29,0)</f>
        <v>-1218</v>
      </c>
      <c r="H97" s="18">
        <f>IFERROR('Cash Flow Data'!H29,0)</f>
        <v>-1049</v>
      </c>
      <c r="I97" s="18">
        <f>IFERROR('Cash Flow Data'!I29,0)</f>
        <v>-2121</v>
      </c>
      <c r="J97" s="18">
        <f>IFERROR('Cash Flow Data'!J29,0)</f>
        <v>-499</v>
      </c>
      <c r="K97" s="18">
        <f>IFERROR('Cash Flow Data'!K29,0)</f>
        <v>-1763</v>
      </c>
      <c r="L97" s="18">
        <f>IFERROR('Cash Flow Data'!L29,0)</f>
        <v>-1936</v>
      </c>
    </row>
    <row r="98" spans="1:12" x14ac:dyDescent="0.3">
      <c r="B98" t="s">
        <v>110</v>
      </c>
      <c r="C98" s="18">
        <f>IFERROR('Cash Flow Data'!C30,0)</f>
        <v>0</v>
      </c>
      <c r="D98" s="18">
        <f>IFERROR('Cash Flow Data'!D30,0)</f>
        <v>0</v>
      </c>
      <c r="E98" s="18">
        <f>IFERROR('Cash Flow Data'!E30,0)</f>
        <v>0</v>
      </c>
      <c r="F98" s="18">
        <f>IFERROR('Cash Flow Data'!F30,0)</f>
        <v>0</v>
      </c>
      <c r="G98" s="18">
        <f>IFERROR('Cash Flow Data'!G30,0)</f>
        <v>0</v>
      </c>
      <c r="H98" s="18">
        <f>IFERROR('Cash Flow Data'!H30,0)</f>
        <v>-180</v>
      </c>
      <c r="I98" s="18">
        <f>IFERROR('Cash Flow Data'!I30,0)</f>
        <v>-179</v>
      </c>
      <c r="J98" s="18">
        <f>IFERROR('Cash Flow Data'!J30,0)</f>
        <v>-203</v>
      </c>
      <c r="K98" s="18">
        <f>IFERROR('Cash Flow Data'!K30,0)</f>
        <v>-221</v>
      </c>
      <c r="L98" s="18">
        <f>IFERROR('Cash Flow Data'!L30,0)</f>
        <v>-256</v>
      </c>
    </row>
    <row r="99" spans="1:12" x14ac:dyDescent="0.3">
      <c r="B99" t="s">
        <v>111</v>
      </c>
      <c r="C99" s="18">
        <f>IFERROR('Cash Flow Data'!C31,0)</f>
        <v>0</v>
      </c>
      <c r="D99" s="18">
        <f>IFERROR('Cash Flow Data'!D31,0)</f>
        <v>0</v>
      </c>
      <c r="E99" s="18">
        <f>IFERROR('Cash Flow Data'!E31,0)</f>
        <v>66</v>
      </c>
      <c r="F99" s="18">
        <f>IFERROR('Cash Flow Data'!F31,0)</f>
        <v>13</v>
      </c>
      <c r="G99" s="18">
        <f>IFERROR('Cash Flow Data'!G31,0)</f>
        <v>-82</v>
      </c>
      <c r="H99" s="18">
        <f>IFERROR('Cash Flow Data'!H31,0)</f>
        <v>0</v>
      </c>
      <c r="I99" s="18">
        <f>IFERROR('Cash Flow Data'!I31,0)</f>
        <v>-209</v>
      </c>
      <c r="J99" s="18">
        <f>IFERROR('Cash Flow Data'!J31,0)</f>
        <v>0</v>
      </c>
      <c r="K99" s="18">
        <f>IFERROR('Cash Flow Data'!K31,0)</f>
        <v>-140</v>
      </c>
      <c r="L99" s="18">
        <f>IFERROR('Cash Flow Data'!L31,0)</f>
        <v>-36</v>
      </c>
    </row>
    <row r="100" spans="1:12" x14ac:dyDescent="0.3">
      <c r="B100" s="22" t="s">
        <v>117</v>
      </c>
      <c r="C100" s="26">
        <f>SUM(C94:C99)</f>
        <v>-626</v>
      </c>
      <c r="D100" s="26">
        <f>SUM(D94:D99)</f>
        <v>-577</v>
      </c>
      <c r="E100" s="26">
        <f>SUM(E94:E99)</f>
        <v>-849</v>
      </c>
      <c r="F100" s="26">
        <f>SUM(F94:F99)</f>
        <v>-757</v>
      </c>
      <c r="G100" s="26">
        <f>SUM(G94:G99)</f>
        <v>-1379</v>
      </c>
      <c r="H100" s="26">
        <f>SUM(H94:H99)</f>
        <v>-1118</v>
      </c>
      <c r="I100" s="26">
        <f>SUM(I94:I99)</f>
        <v>-2871</v>
      </c>
      <c r="J100" s="26">
        <f>SUM(J94:J99)</f>
        <v>-650</v>
      </c>
      <c r="K100" s="26">
        <f>SUM(K94:K99)</f>
        <v>-1808</v>
      </c>
      <c r="L100" s="26">
        <f>SUM(L94:L99)</f>
        <v>-2141</v>
      </c>
    </row>
    <row r="102" spans="1:12" ht="15" thickBot="1" x14ac:dyDescent="0.35">
      <c r="B102" s="42" t="s">
        <v>20</v>
      </c>
      <c r="C102" s="43">
        <f>C100+C91+C78</f>
        <v>23</v>
      </c>
      <c r="D102" s="43">
        <f>D100+D91+D78</f>
        <v>-304</v>
      </c>
      <c r="E102" s="43">
        <f>E100+E91+E78</f>
        <v>728</v>
      </c>
      <c r="F102" s="43">
        <f>F100+F91+F78</f>
        <v>-513</v>
      </c>
      <c r="G102" s="43">
        <f>G100+G91+G78</f>
        <v>-902</v>
      </c>
      <c r="H102" s="43">
        <f>H100+H91+H78</f>
        <v>23</v>
      </c>
      <c r="I102" s="43">
        <f>I100+I91+I78</f>
        <v>-684</v>
      </c>
      <c r="J102" s="43">
        <f>J100+J91+J78</f>
        <v>2286</v>
      </c>
      <c r="K102" s="43">
        <f>K100+K91+K78</f>
        <v>-3933</v>
      </c>
      <c r="L102" s="44">
        <f>L100+L91+L78</f>
        <v>-2</v>
      </c>
    </row>
    <row r="103" spans="1:12" ht="15" thickTop="1" x14ac:dyDescent="0.3"/>
    <row r="104" spans="1:12" x14ac:dyDescent="0.3">
      <c r="A104" t="s">
        <v>56</v>
      </c>
      <c r="B104" s="20" t="s">
        <v>118</v>
      </c>
    </row>
    <row r="106" spans="1:12" x14ac:dyDescent="0.3">
      <c r="B106" s="4" t="s">
        <v>17</v>
      </c>
      <c r="C106" s="18">
        <f>IFERROR('Data Sheet'!B82,0)</f>
        <v>1402.03</v>
      </c>
      <c r="D106" s="18">
        <f>IFERROR('Data Sheet'!C82,0)</f>
        <v>1187.69</v>
      </c>
      <c r="E106" s="18">
        <f>IFERROR('Data Sheet'!D82,0)</f>
        <v>2242.9499999999998</v>
      </c>
      <c r="F106" s="18">
        <f>IFERROR('Data Sheet'!E82,0)</f>
        <v>1527.33</v>
      </c>
      <c r="G106" s="18">
        <f>IFERROR('Data Sheet'!F82,0)</f>
        <v>2113.44</v>
      </c>
      <c r="H106" s="18">
        <f>IFERROR('Data Sheet'!G82,0)</f>
        <v>2469.54</v>
      </c>
      <c r="I106" s="18">
        <f>IFERROR('Data Sheet'!H82,0)</f>
        <v>3038.15</v>
      </c>
      <c r="J106" s="18">
        <f>IFERROR('Data Sheet'!I82,0)</f>
        <v>3683.35</v>
      </c>
      <c r="K106" s="18">
        <f>IFERROR('Data Sheet'!J82,0)</f>
        <v>986.49</v>
      </c>
      <c r="L106" s="18">
        <f>IFERROR('Data Sheet'!K82,0)</f>
        <v>4193.43</v>
      </c>
    </row>
    <row r="107" spans="1:12" x14ac:dyDescent="0.3">
      <c r="B107" s="4" t="s">
        <v>18</v>
      </c>
      <c r="C107" s="18">
        <f>IFERROR('Data Sheet'!B83,0)</f>
        <v>-585.99</v>
      </c>
      <c r="D107" s="18">
        <f>IFERROR('Data Sheet'!C83,0)</f>
        <v>-464.99</v>
      </c>
      <c r="E107" s="18">
        <f>IFERROR('Data Sheet'!D83,0)</f>
        <v>-866.21</v>
      </c>
      <c r="F107" s="18">
        <f>IFERROR('Data Sheet'!E83,0)</f>
        <v>-681.11</v>
      </c>
      <c r="G107" s="18">
        <f>IFERROR('Data Sheet'!F83,0)</f>
        <v>-1556.14</v>
      </c>
      <c r="H107" s="18">
        <f>IFERROR('Data Sheet'!G83,0)</f>
        <v>-917.79</v>
      </c>
      <c r="I107" s="18">
        <f>IFERROR('Data Sheet'!H83,0)</f>
        <v>-517.91</v>
      </c>
      <c r="J107" s="18">
        <f>IFERROR('Data Sheet'!I83,0)</f>
        <v>-540.54</v>
      </c>
      <c r="K107" s="18">
        <f>IFERROR('Data Sheet'!J83,0)</f>
        <v>-316.75</v>
      </c>
      <c r="L107" s="18">
        <f>IFERROR('Data Sheet'!K83,0)</f>
        <v>-1282.3399999999999</v>
      </c>
    </row>
    <row r="108" spans="1:12" x14ac:dyDescent="0.3">
      <c r="B108" s="4" t="s">
        <v>19</v>
      </c>
      <c r="C108" s="18">
        <f>IFERROR('Data Sheet'!B84,0)</f>
        <v>-625.91</v>
      </c>
      <c r="D108" s="18">
        <f>IFERROR('Data Sheet'!C84,0)</f>
        <v>-576.09</v>
      </c>
      <c r="E108" s="18">
        <f>IFERROR('Data Sheet'!D84,0)</f>
        <v>-848.98</v>
      </c>
      <c r="F108" s="18">
        <f>IFERROR('Data Sheet'!E84,0)</f>
        <v>-756.43</v>
      </c>
      <c r="G108" s="18">
        <f>IFERROR('Data Sheet'!F84,0)</f>
        <v>-1379.14</v>
      </c>
      <c r="H108" s="18">
        <f>IFERROR('Data Sheet'!G84,0)</f>
        <v>-1117.46</v>
      </c>
      <c r="I108" s="18">
        <f>IFERROR('Data Sheet'!H84,0)</f>
        <v>-2871.46</v>
      </c>
      <c r="J108" s="18">
        <f>IFERROR('Data Sheet'!I84,0)</f>
        <v>-650.4</v>
      </c>
      <c r="K108" s="18">
        <f>IFERROR('Data Sheet'!J84,0)</f>
        <v>-1807.61</v>
      </c>
      <c r="L108" s="18">
        <f>IFERROR('Data Sheet'!K84,0)</f>
        <v>-2140.0500000000002</v>
      </c>
    </row>
    <row r="109" spans="1:12" x14ac:dyDescent="0.3">
      <c r="B109" s="1" t="s">
        <v>20</v>
      </c>
      <c r="C109" s="45">
        <f>IFERROR('Data Sheet'!B85,0)</f>
        <v>190.13</v>
      </c>
      <c r="D109" s="45">
        <f>IFERROR('Data Sheet'!C85,0)</f>
        <v>146.61000000000001</v>
      </c>
      <c r="E109" s="45">
        <f>IFERROR('Data Sheet'!D85,0)</f>
        <v>527.76</v>
      </c>
      <c r="F109" s="45">
        <f>IFERROR('Data Sheet'!E85,0)</f>
        <v>89.79</v>
      </c>
      <c r="G109" s="45">
        <f>IFERROR('Data Sheet'!F85,0)</f>
        <v>-821.84</v>
      </c>
      <c r="H109" s="45">
        <f>IFERROR('Data Sheet'!G85,0)</f>
        <v>434.29</v>
      </c>
      <c r="I109" s="45">
        <f>IFERROR('Data Sheet'!H85,0)</f>
        <v>-351.22</v>
      </c>
      <c r="J109" s="45">
        <f>IFERROR('Data Sheet'!I85,0)</f>
        <v>2492.41</v>
      </c>
      <c r="K109" s="45">
        <f>IFERROR('Data Sheet'!J85,0)</f>
        <v>-1137.8699999999999</v>
      </c>
      <c r="L109" s="45">
        <f>IFERROR('Data Sheet'!K85,0)</f>
        <v>771.04</v>
      </c>
    </row>
  </sheetData>
  <mergeCells count="4">
    <mergeCell ref="B2:L2"/>
    <mergeCell ref="B5:L5"/>
    <mergeCell ref="B46:L46"/>
    <mergeCell ref="B68:L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AC6B-0280-442D-BED4-453DEE2C39AB}">
  <dimension ref="B1:O41"/>
  <sheetViews>
    <sheetView showGridLines="0" workbookViewId="0">
      <pane ySplit="3" topLeftCell="A4" activePane="bottomLeft" state="frozen"/>
      <selection pane="bottomLeft" activeCell="A5" sqref="A5"/>
    </sheetView>
  </sheetViews>
  <sheetFormatPr defaultRowHeight="14.4" x14ac:dyDescent="0.3"/>
  <cols>
    <col min="1" max="1" width="1.88671875" customWidth="1"/>
    <col min="2" max="2" width="29.33203125" style="8" customWidth="1"/>
    <col min="3" max="12" width="12.77734375" customWidth="1"/>
    <col min="13" max="13" width="14.77734375" customWidth="1"/>
    <col min="14" max="14" width="8.6640625" bestFit="1" customWidth="1"/>
    <col min="15" max="15" width="8" bestFit="1" customWidth="1"/>
  </cols>
  <sheetData>
    <row r="1" spans="2:15" x14ac:dyDescent="0.3">
      <c r="B1"/>
    </row>
    <row r="2" spans="2:15" x14ac:dyDescent="0.3">
      <c r="B2" s="73" t="str">
        <f>"Ratio Analysis - "&amp;'Data Sheet'!B1</f>
        <v>Ratio Analysis - ASIAN PAINTS LTD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2:15" x14ac:dyDescent="0.3">
      <c r="B3" s="33" t="s">
        <v>55</v>
      </c>
      <c r="C3" s="34">
        <f>'Data Sheet'!B16</f>
        <v>41729</v>
      </c>
      <c r="D3" s="34">
        <f>'Data Sheet'!C16</f>
        <v>42094</v>
      </c>
      <c r="E3" s="34">
        <f>'Data Sheet'!D16</f>
        <v>42460</v>
      </c>
      <c r="F3" s="34">
        <f>'Data Sheet'!E16</f>
        <v>42825</v>
      </c>
      <c r="G3" s="34">
        <f>'Data Sheet'!F16</f>
        <v>43190</v>
      </c>
      <c r="H3" s="34">
        <f>'Data Sheet'!G16</f>
        <v>43555</v>
      </c>
      <c r="I3" s="34">
        <f>'Data Sheet'!H16</f>
        <v>43921</v>
      </c>
      <c r="J3" s="34">
        <f>'Data Sheet'!I16</f>
        <v>44286</v>
      </c>
      <c r="K3" s="34">
        <f>'Data Sheet'!J16</f>
        <v>44651</v>
      </c>
      <c r="L3" s="34">
        <f>'Data Sheet'!K16</f>
        <v>45016</v>
      </c>
      <c r="M3" s="63" t="s">
        <v>149</v>
      </c>
      <c r="N3" s="63" t="s">
        <v>147</v>
      </c>
      <c r="O3" s="63" t="s">
        <v>148</v>
      </c>
    </row>
    <row r="5" spans="2:15" x14ac:dyDescent="0.3">
      <c r="B5" s="49" t="s">
        <v>9</v>
      </c>
      <c r="C5" s="59" t="s">
        <v>146</v>
      </c>
      <c r="D5" s="51">
        <f>IFERROR('Historical FS'!D7,0)</f>
        <v>0.11414466174101112</v>
      </c>
      <c r="E5" s="51">
        <f>IFERROR('Historical FS'!E7,0)</f>
        <v>4.8198124751198224E-2</v>
      </c>
      <c r="F5" s="51">
        <f>IFERROR('Historical FS'!F7,0)</f>
        <v>5.5390151974320734E-2</v>
      </c>
      <c r="G5" s="51">
        <f>IFERROR('Historical FS'!G7,0)</f>
        <v>0.11702039371955486</v>
      </c>
      <c r="H5" s="51">
        <f>IFERROR('Historical FS'!H7,0)</f>
        <v>0.14357471670861943</v>
      </c>
      <c r="I5" s="51">
        <f>IFERROR('Historical FS'!I7,0)</f>
        <v>5.0473671435691925E-2</v>
      </c>
      <c r="J5" s="51">
        <f>IFERROR('Historical FS'!J7,0)</f>
        <v>7.4292287711052118E-2</v>
      </c>
      <c r="K5" s="51">
        <f>IFERROR('Historical FS'!K7,0)</f>
        <v>0.34028284711453471</v>
      </c>
      <c r="L5" s="51">
        <f>IFERROR('Historical FS'!L7,0)</f>
        <v>0.18512278497715551</v>
      </c>
      <c r="M5" s="50"/>
      <c r="N5" s="51">
        <f>IFERROR(AVERAGE(D5:L5),0)</f>
        <v>0.12538884890368207</v>
      </c>
      <c r="O5" s="51">
        <f>IFERROR(MEDIAN(C5:L5),0)</f>
        <v>0.11414466174101112</v>
      </c>
    </row>
    <row r="6" spans="2:15" x14ac:dyDescent="0.3">
      <c r="B6" s="8" t="s">
        <v>119</v>
      </c>
      <c r="C6" s="13" t="s">
        <v>146</v>
      </c>
      <c r="D6" s="48">
        <f>IFERROR('Historical FS'!D18/'Historical FS'!C18-1,0)</f>
        <v>0.11939650439695271</v>
      </c>
      <c r="E6" s="48">
        <f>IFERROR('Historical FS'!E18/'Historical FS'!D18-1,0)</f>
        <v>0.21496818836412013</v>
      </c>
      <c r="F6" s="48">
        <f>IFERROR('Historical FS'!F18/'Historical FS'!E18-1,0)</f>
        <v>9.861139652995865E-2</v>
      </c>
      <c r="G6" s="48">
        <f>IFERROR('Historical FS'!G18/'Historical FS'!F18-1,0)</f>
        <v>7.0229410507188561E-2</v>
      </c>
      <c r="H6" s="48">
        <f>IFERROR('Historical FS'!H18/'Historical FS'!G18-1,0)</f>
        <v>0.17507123885381137</v>
      </c>
      <c r="I6" s="48">
        <f>IFERROR('Historical FS'!I18/'Historical FS'!H18-1,0)</f>
        <v>0.10408665211132084</v>
      </c>
      <c r="J6" s="48">
        <f>IFERROR('Historical FS'!J18/'Historical FS'!I18-1,0)</f>
        <v>0.16810446447043792</v>
      </c>
      <c r="K6" s="48">
        <f>IFERROR('Historical FS'!K18/'Historical FS'!J18-1,0)</f>
        <v>-1.0707224647830249E-2</v>
      </c>
      <c r="L6" s="48">
        <f>IFERROR('Historical FS'!L18/'Historical FS'!K18-1,0)</f>
        <v>0.3031532534906034</v>
      </c>
      <c r="N6" s="48">
        <f t="shared" ref="N6:N9" si="0">IFERROR(AVERAGE(D6:L6),0)</f>
        <v>0.13810154267517369</v>
      </c>
      <c r="O6" s="48">
        <f t="shared" ref="O6:O31" si="1">IFERROR(MEDIAN(C6:L6),0)</f>
        <v>0.11939650439695271</v>
      </c>
    </row>
    <row r="7" spans="2:15" x14ac:dyDescent="0.3">
      <c r="B7" s="8" t="s">
        <v>125</v>
      </c>
      <c r="C7" s="13" t="s">
        <v>146</v>
      </c>
      <c r="D7" s="48">
        <f>IFERROR('Historical FS'!D27/'Historical FS'!C27-1,0)</f>
        <v>0.13141443617288662</v>
      </c>
      <c r="E7" s="48">
        <f>IFERROR('Historical FS'!E27/'Historical FS'!D27-1,0)</f>
        <v>0.24072092746791629</v>
      </c>
      <c r="F7" s="48">
        <f>IFERROR('Historical FS'!F27/'Historical FS'!E27-1,0)</f>
        <v>9.2140673037667264E-2</v>
      </c>
      <c r="G7" s="48">
        <f>IFERROR('Historical FS'!G27/'Historical FS'!F27-1,0)</f>
        <v>6.8823331960147449E-2</v>
      </c>
      <c r="H7" s="48">
        <f>IFERROR('Historical FS'!H27/'Historical FS'!G27-1,0)</f>
        <v>8.2174963509120014E-2</v>
      </c>
      <c r="I7" s="48">
        <f>IFERROR('Historical FS'!I27/'Historical FS'!H27-1,0)</f>
        <v>7.9694492354063229E-2</v>
      </c>
      <c r="J7" s="48">
        <f>IFERROR('Historical FS'!J27/'Historical FS'!I27-1,0)</f>
        <v>0.21341238061203782</v>
      </c>
      <c r="K7" s="48">
        <f>IFERROR('Historical FS'!K27/'Historical FS'!J27-1,0)</f>
        <v>-2.0353915473104944E-2</v>
      </c>
      <c r="L7" s="48">
        <f>IFERROR('Historical FS'!L27/'Historical FS'!K27-1,0)</f>
        <v>0.35087002548922808</v>
      </c>
      <c r="N7" s="48">
        <f t="shared" si="0"/>
        <v>0.13765525723666241</v>
      </c>
      <c r="O7" s="48">
        <f t="shared" si="1"/>
        <v>9.2140673037667264E-2</v>
      </c>
    </row>
    <row r="8" spans="2:15" x14ac:dyDescent="0.3">
      <c r="B8" s="8" t="s">
        <v>120</v>
      </c>
      <c r="C8" s="13" t="s">
        <v>146</v>
      </c>
      <c r="D8" s="48">
        <f>IFERROR('Historical FS'!D33/'Historical FS'!C33-1,0)</f>
        <v>0.12884497145366547</v>
      </c>
      <c r="E8" s="48">
        <f>IFERROR('Historical FS'!E33/'Historical FS'!D33-1,0)</f>
        <v>0.21069258241972122</v>
      </c>
      <c r="F8" s="48">
        <f>IFERROR('Historical FS'!F33/'Historical FS'!E33-1,0)</f>
        <v>7.8651902028958665E-2</v>
      </c>
      <c r="G8" s="48">
        <f>IFERROR('Historical FS'!G33/'Historical FS'!F33-1,0)</f>
        <v>4.9310334554771407E-2</v>
      </c>
      <c r="H8" s="48">
        <f>IFERROR('Historical FS'!H33/'Historical FS'!G33-1,0)</f>
        <v>9.8324352255112046E-2</v>
      </c>
      <c r="I8" s="48">
        <f>IFERROR('Historical FS'!I33/'Historical FS'!H33-1,0)</f>
        <v>0.25067338065523237</v>
      </c>
      <c r="J8" s="48">
        <f>IFERROR('Historical FS'!J33/'Historical FS'!I33-1,0)</f>
        <v>0.18848020370875829</v>
      </c>
      <c r="K8" s="48">
        <f>IFERROR('Historical FS'!K33/'Historical FS'!J33-1,0)</f>
        <v>-2.9971131438908061E-2</v>
      </c>
      <c r="L8" s="48">
        <f>IFERROR('Historical FS'!L33/'Historical FS'!K33-1,0)</f>
        <v>0.34957492658474654</v>
      </c>
      <c r="N8" s="48">
        <f t="shared" si="0"/>
        <v>0.14717572469133977</v>
      </c>
      <c r="O8" s="48">
        <f t="shared" si="1"/>
        <v>0.12884497145366547</v>
      </c>
    </row>
    <row r="9" spans="2:15" x14ac:dyDescent="0.3">
      <c r="B9" s="52" t="s">
        <v>121</v>
      </c>
      <c r="C9" s="13" t="s">
        <v>146</v>
      </c>
      <c r="D9" s="54">
        <f>IFERROR('Historical FS'!D41/'Historical FS'!C41-1,0)</f>
        <v>0.15093040638892163</v>
      </c>
      <c r="E9" s="54">
        <f>IFERROR('Historical FS'!E41/'Historical FS'!D41-1,0)</f>
        <v>0.22951239937789469</v>
      </c>
      <c r="F9" s="54">
        <f>IFERROR('Historical FS'!F41/'Historical FS'!E41-1,0)</f>
        <v>0.37333889352237981</v>
      </c>
      <c r="G9" s="54">
        <f>IFERROR('Historical FS'!G41/'Historical FS'!F41-1,0)</f>
        <v>-0.15534727423632066</v>
      </c>
      <c r="H9" s="54">
        <f>IFERROR('Historical FS'!H41/'Historical FS'!G41-1,0)</f>
        <v>0.20690233672858005</v>
      </c>
      <c r="I9" s="54">
        <f>IFERROR('Historical FS'!I41/'Historical FS'!H41-1,0)</f>
        <v>0.14285714285714279</v>
      </c>
      <c r="J9" s="54">
        <f>IFERROR('Historical FS'!J41/'Historical FS'!I41-1,0)</f>
        <v>0.48749826244092298</v>
      </c>
      <c r="K9" s="54">
        <f>IFERROR('Historical FS'!K41/'Historical FS'!J41-1,0)</f>
        <v>7.2831552941588606E-2</v>
      </c>
      <c r="L9" s="54">
        <f>IFERROR('Historical FS'!L41/'Historical FS'!K41-1,0)</f>
        <v>0.33942521789783719</v>
      </c>
      <c r="M9" s="53"/>
      <c r="N9" s="54">
        <f t="shared" si="0"/>
        <v>0.2053276597687719</v>
      </c>
      <c r="O9" s="54">
        <f t="shared" si="1"/>
        <v>0.20690233672858005</v>
      </c>
    </row>
    <row r="10" spans="2:15" x14ac:dyDescent="0.3">
      <c r="C10" s="58"/>
    </row>
    <row r="11" spans="2:15" x14ac:dyDescent="0.3">
      <c r="B11" s="49" t="s">
        <v>122</v>
      </c>
      <c r="C11" s="51">
        <f>IFERROR('Historical FS'!C13,0)</f>
        <v>0.30943334776279285</v>
      </c>
      <c r="D11" s="51">
        <f>IFERROR('Historical FS'!D13,0)</f>
        <v>0.31703324064321942</v>
      </c>
      <c r="E11" s="51">
        <f>IFERROR('Historical FS'!E13,0)</f>
        <v>0.34037441080083447</v>
      </c>
      <c r="F11" s="51">
        <f>IFERROR('Historical FS'!F13,0)</f>
        <v>0.35382642001488518</v>
      </c>
      <c r="G11" s="51">
        <f>IFERROR('Historical FS'!G13,0)</f>
        <v>0.33465263558312119</v>
      </c>
      <c r="H11" s="51">
        <f>IFERROR('Historical FS'!H13,0)</f>
        <v>0.3292243867375117</v>
      </c>
      <c r="I11" s="51">
        <f>IFERROR('Historical FS'!I13,0)</f>
        <v>0.34897544684272364</v>
      </c>
      <c r="J11" s="51">
        <f>IFERROR('Historical FS'!J13,0)</f>
        <v>0.35360356729835285</v>
      </c>
      <c r="K11" s="51">
        <f>IFERROR('Historical FS'!K13,0)</f>
        <v>0.29245139732685294</v>
      </c>
      <c r="L11" s="51">
        <f>IFERROR('Historical FS'!L13,0)</f>
        <v>0.31088223670495074</v>
      </c>
      <c r="M11" s="50"/>
      <c r="N11" s="51">
        <f>IFERROR(AVERAGE(C11:L11),0)</f>
        <v>0.32904570897152452</v>
      </c>
      <c r="O11" s="51">
        <f t="shared" si="1"/>
        <v>0.33193851116031647</v>
      </c>
    </row>
    <row r="12" spans="2:15" x14ac:dyDescent="0.3">
      <c r="B12" s="8" t="s">
        <v>65</v>
      </c>
      <c r="C12" s="48">
        <f>IFERROR('Historical FS'!C19,0)</f>
        <v>0.16396066567542564</v>
      </c>
      <c r="D12" s="48">
        <f>IFERROR('Historical FS'!D19,0)</f>
        <v>0.16473354162902507</v>
      </c>
      <c r="E12" s="48">
        <f>IFERROR('Historical FS'!E19,0)</f>
        <v>0.19094292186730338</v>
      </c>
      <c r="F12" s="48">
        <f>IFERROR('Historical FS'!F19,0)</f>
        <v>0.19876258050895004</v>
      </c>
      <c r="G12" s="48">
        <f>IFERROR('Historical FS'!G19,0)</f>
        <v>0.19043659414367703</v>
      </c>
      <c r="H12" s="48">
        <f>IFERROR('Historical FS'!H19,0)</f>
        <v>0.19568163000977651</v>
      </c>
      <c r="I12" s="48">
        <f>IFERROR('Historical FS'!I19,0)</f>
        <v>0.20566862514688591</v>
      </c>
      <c r="J12" s="48">
        <f>IFERROR('Historical FS'!J19,0)</f>
        <v>0.22362856178317034</v>
      </c>
      <c r="K12" s="48">
        <f>IFERROR('Historical FS'!K19,0)</f>
        <v>0.16506524798909186</v>
      </c>
      <c r="L12" s="48">
        <f>IFERROR('Historical FS'!L19,0)</f>
        <v>0.1815046657459756</v>
      </c>
      <c r="N12" s="48">
        <f t="shared" ref="N12:N31" si="2">IFERROR(AVERAGE(C12:L12),0)</f>
        <v>0.18803850344992817</v>
      </c>
      <c r="O12" s="48">
        <f t="shared" si="1"/>
        <v>0.19068975800549021</v>
      </c>
    </row>
    <row r="13" spans="2:15" x14ac:dyDescent="0.3">
      <c r="B13" s="8" t="s">
        <v>123</v>
      </c>
      <c r="C13" s="48">
        <f>IFERROR(('Historical FS'!C18-'Historical FS'!C24)/'Historical FS'!C6,0)</f>
        <v>0.14385816468732135</v>
      </c>
      <c r="D13" s="48">
        <f>IFERROR(('Historical FS'!D18-'Historical FS'!D24)/'Historical FS'!D6,0)</f>
        <v>0.14520251541285292</v>
      </c>
      <c r="E13" s="48">
        <f>IFERROR(('Historical FS'!E18-'Historical FS'!E24)/'Historical FS'!E6,0)</f>
        <v>0.17163309507276406</v>
      </c>
      <c r="F13" s="48">
        <f>IFERROR(('Historical FS'!F18-'Historical FS'!F24)/'Historical FS'!F6,0)</f>
        <v>0.17653510591893901</v>
      </c>
      <c r="G13" s="48">
        <f>IFERROR(('Historical FS'!G18-'Historical FS'!G24)/'Historical FS'!G6,0)</f>
        <v>0.16901135543001156</v>
      </c>
      <c r="H13" s="48">
        <f>IFERROR(('Historical FS'!H18-'Historical FS'!H24)/'Historical FS'!H6,0)</f>
        <v>0.16334608965739844</v>
      </c>
      <c r="I13" s="48">
        <f>IFERROR(('Historical FS'!I18-'Historical FS'!I24)/'Historical FS'!I6,0)</f>
        <v>0.16705151833755943</v>
      </c>
      <c r="J13" s="48">
        <f>IFERROR(('Historical FS'!J18-'Historical FS'!J24)/'Historical FS'!J6,0)</f>
        <v>0.18718598577152007</v>
      </c>
      <c r="K13" s="48">
        <f>IFERROR(('Historical FS'!K18-'Historical FS'!K24)/'Historical FS'!K6,0)</f>
        <v>0.13701287366053996</v>
      </c>
      <c r="L13" s="48">
        <f>IFERROR(('Historical FS'!L18-'Historical FS'!L24)/'Historical FS'!L6,0)</f>
        <v>0.15662629292760291</v>
      </c>
      <c r="N13" s="48">
        <f t="shared" si="2"/>
        <v>0.161746299687651</v>
      </c>
      <c r="O13" s="48">
        <f t="shared" si="1"/>
        <v>0.16519880399747894</v>
      </c>
    </row>
    <row r="14" spans="2:15" x14ac:dyDescent="0.3">
      <c r="B14" s="8" t="s">
        <v>124</v>
      </c>
      <c r="C14" s="48">
        <f>IFERROR('Historical FS'!C28,0)</f>
        <v>0.13993111501533925</v>
      </c>
      <c r="D14" s="48">
        <f>IFERROR('Historical FS'!D28,0)</f>
        <v>0.14210011413663784</v>
      </c>
      <c r="E14" s="48">
        <f>IFERROR('Historical FS'!E28,0)</f>
        <v>0.16819967641780931</v>
      </c>
      <c r="F14" s="48">
        <f>IFERROR('Historical FS'!F28,0)</f>
        <v>0.17405668175320793</v>
      </c>
      <c r="G14" s="48">
        <f>IFERROR('Historical FS'!G28,0)</f>
        <v>0.16654650495852794</v>
      </c>
      <c r="H14" s="48">
        <f>IFERROR('Historical FS'!H28,0)</f>
        <v>0.15760444446061442</v>
      </c>
      <c r="I14" s="48">
        <f>IFERROR('Historical FS'!I28,0)</f>
        <v>0.16198849650565889</v>
      </c>
      <c r="J14" s="48">
        <f>IFERROR('Historical FS'!J28,0)</f>
        <v>0.18296589245325004</v>
      </c>
      <c r="K14" s="48">
        <f>IFERROR('Historical FS'!K28,0)</f>
        <v>0.13373432371359606</v>
      </c>
      <c r="L14" s="48">
        <f>IFERROR('Historical FS'!L28,0)</f>
        <v>0.15243795121806938</v>
      </c>
      <c r="N14" s="48">
        <f t="shared" si="2"/>
        <v>0.15795652006327107</v>
      </c>
      <c r="O14" s="48">
        <f t="shared" si="1"/>
        <v>0.15979647048313667</v>
      </c>
    </row>
    <row r="15" spans="2:15" x14ac:dyDescent="0.3">
      <c r="B15" s="52" t="s">
        <v>72</v>
      </c>
      <c r="C15" s="54">
        <f>IFERROR('Historical FS'!C34,0)</f>
        <v>9.3164118598700496E-2</v>
      </c>
      <c r="D15" s="54">
        <f>IFERROR('Historical FS'!D34,0)</f>
        <v>9.43933498148401E-2</v>
      </c>
      <c r="E15" s="54">
        <f>IFERROR('Historical FS'!E34,0)</f>
        <v>0.10902645764387611</v>
      </c>
      <c r="F15" s="54">
        <f>IFERROR('Historical FS'!F34,0)</f>
        <v>0.1114294990237014</v>
      </c>
      <c r="G15" s="54">
        <f>IFERROR('Historical FS'!G34,0)</f>
        <v>0.10467501359620324</v>
      </c>
      <c r="H15" s="54">
        <f>IFERROR('Historical FS'!H34,0)</f>
        <v>0.1005331045060507</v>
      </c>
      <c r="I15" s="54">
        <f>IFERROR('Historical FS'!I34,0)</f>
        <v>0.1196927453769558</v>
      </c>
      <c r="J15" s="54">
        <f>IFERROR('Historical FS'!J34,0)</f>
        <v>0.13241504200980173</v>
      </c>
      <c r="K15" s="54">
        <f>IFERROR('Historical FS'!K34,0)</f>
        <v>9.5835303464314917E-2</v>
      </c>
      <c r="L15" s="54">
        <f>IFERROR('Historical FS'!L34,0)</f>
        <v>0.10913377438741322</v>
      </c>
      <c r="M15" s="53"/>
      <c r="N15" s="54">
        <f t="shared" si="2"/>
        <v>0.10702984084218577</v>
      </c>
      <c r="O15" s="54">
        <f t="shared" si="1"/>
        <v>0.10685073562003967</v>
      </c>
    </row>
    <row r="17" spans="2:15" x14ac:dyDescent="0.3">
      <c r="B17" s="49" t="s">
        <v>126</v>
      </c>
      <c r="C17" s="51">
        <f>IFERROR('Historical FS'!C16,0)</f>
        <v>0.14547268208736722</v>
      </c>
      <c r="D17" s="51">
        <f>IFERROR('Historical FS'!D16,0)</f>
        <v>0.15229969901419435</v>
      </c>
      <c r="E17" s="51">
        <f>IFERROR('Historical FS'!E16,0)</f>
        <v>0.14943148893353111</v>
      </c>
      <c r="F17" s="51">
        <f>IFERROR('Historical FS'!F16,0)</f>
        <v>0.15506383950593511</v>
      </c>
      <c r="G17" s="51">
        <f>IFERROR('Historical FS'!G16,0)</f>
        <v>0.14421604143944414</v>
      </c>
      <c r="H17" s="51">
        <f>IFERROR('Historical FS'!H16,0)</f>
        <v>0.13354275672773522</v>
      </c>
      <c r="I17" s="51">
        <f>IFERROR('Historical FS'!I16,0)</f>
        <v>0.14330682169583772</v>
      </c>
      <c r="J17" s="51">
        <f>IFERROR('Historical FS'!J16,0)</f>
        <v>0.12997500551518251</v>
      </c>
      <c r="K17" s="51">
        <f>IFERROR('Historical FS'!K16,0)</f>
        <v>0.1273861493377611</v>
      </c>
      <c r="L17" s="51">
        <f>IFERROR('Historical FS'!L16,0)</f>
        <v>0.12937757095897515</v>
      </c>
      <c r="M17" s="50"/>
      <c r="N17" s="51">
        <f t="shared" si="2"/>
        <v>0.14100720552159635</v>
      </c>
      <c r="O17" s="51">
        <f t="shared" si="1"/>
        <v>0.14376143156764093</v>
      </c>
    </row>
    <row r="18" spans="2:15" x14ac:dyDescent="0.3">
      <c r="B18" s="8" t="s">
        <v>67</v>
      </c>
      <c r="C18" s="48">
        <f>IFERROR('Historical FS'!C25,0)</f>
        <v>2.0102500988104288E-2</v>
      </c>
      <c r="D18" s="48">
        <f>IFERROR('Historical FS'!D25,0)</f>
        <v>1.953102621617215E-2</v>
      </c>
      <c r="E18" s="48">
        <f>IFERROR('Historical FS'!E25,0)</f>
        <v>1.9309826794539322E-2</v>
      </c>
      <c r="F18" s="48">
        <f>IFERROR('Historical FS'!F25,0)</f>
        <v>2.2227474590011016E-2</v>
      </c>
      <c r="G18" s="48">
        <f>IFERROR('Historical FS'!G25,0)</f>
        <v>2.1425238713665449E-2</v>
      </c>
      <c r="H18" s="48">
        <f>IFERROR('Historical FS'!H25,0)</f>
        <v>3.2335540352378074E-2</v>
      </c>
      <c r="I18" s="48">
        <f>IFERROR('Historical FS'!I25,0)</f>
        <v>3.8617106809326486E-2</v>
      </c>
      <c r="J18" s="48">
        <f>IFERROR('Historical FS'!J25,0)</f>
        <v>3.6442576011650275E-2</v>
      </c>
      <c r="K18" s="48">
        <f>IFERROR('Historical FS'!K25,0)</f>
        <v>2.8052374328551871E-2</v>
      </c>
      <c r="L18" s="48">
        <f>IFERROR('Historical FS'!L25,0)</f>
        <v>2.4878372818372688E-2</v>
      </c>
      <c r="N18" s="48">
        <f t="shared" si="2"/>
        <v>2.6292203762277162E-2</v>
      </c>
      <c r="O18" s="48">
        <f t="shared" si="1"/>
        <v>2.3552923704191854E-2</v>
      </c>
    </row>
    <row r="19" spans="2:15" x14ac:dyDescent="0.3">
      <c r="B19" s="52" t="s">
        <v>127</v>
      </c>
      <c r="C19" s="55">
        <f>C13</f>
        <v>0.14385816468732135</v>
      </c>
      <c r="D19" s="55">
        <f t="shared" ref="D19:K19" si="3">D13</f>
        <v>0.14520251541285292</v>
      </c>
      <c r="E19" s="55">
        <f t="shared" si="3"/>
        <v>0.17163309507276406</v>
      </c>
      <c r="F19" s="55">
        <f t="shared" si="3"/>
        <v>0.17653510591893901</v>
      </c>
      <c r="G19" s="55">
        <f t="shared" si="3"/>
        <v>0.16901135543001156</v>
      </c>
      <c r="H19" s="55">
        <f t="shared" si="3"/>
        <v>0.16334608965739844</v>
      </c>
      <c r="I19" s="55">
        <f t="shared" si="3"/>
        <v>0.16705151833755943</v>
      </c>
      <c r="J19" s="55">
        <f t="shared" si="3"/>
        <v>0.18718598577152007</v>
      </c>
      <c r="K19" s="55">
        <f t="shared" si="3"/>
        <v>0.13701287366053996</v>
      </c>
      <c r="L19" s="55">
        <f t="shared" ref="L19" si="4">L13</f>
        <v>0.15662629292760291</v>
      </c>
      <c r="M19" s="53"/>
      <c r="N19" s="54">
        <f t="shared" si="2"/>
        <v>0.161746299687651</v>
      </c>
      <c r="O19" s="54">
        <f t="shared" si="1"/>
        <v>0.16519880399747894</v>
      </c>
    </row>
    <row r="21" spans="2:15" x14ac:dyDescent="0.3">
      <c r="B21" s="49" t="s">
        <v>128</v>
      </c>
      <c r="C21" s="51">
        <f>IFERROR(('Historical FS'!C18-'Historical FS'!C24)/SUM('Historical FS'!C47:C49),0)</f>
        <v>0.40994597014716583</v>
      </c>
      <c r="D21" s="51">
        <f>IFERROR(('Historical FS'!D18-'Historical FS'!D24)/SUM('Historical FS'!D47:D49),0)</f>
        <v>0.38309437208968844</v>
      </c>
      <c r="E21" s="51">
        <f>IFERROR(('Historical FS'!E18-'Historical FS'!E24)/SUM('Historical FS'!E47:E49),0)</f>
        <v>0.35768409093896003</v>
      </c>
      <c r="F21" s="51">
        <f>IFERROR(('Historical FS'!F18-'Historical FS'!F24)/SUM('Historical FS'!F47:F49),0)</f>
        <v>0.32568533713528403</v>
      </c>
      <c r="G21" s="51">
        <f>IFERROR(('Historical FS'!G18-'Historical FS'!G24)/SUM('Historical FS'!G47:G49),0)</f>
        <v>0.31793918820706524</v>
      </c>
      <c r="H21" s="51">
        <f>IFERROR(('Historical FS'!H18-'Historical FS'!H24)/SUM('Historical FS'!H47:H49),0)</f>
        <v>0.29126564505590763</v>
      </c>
      <c r="I21" s="51">
        <f>IFERROR(('Historical FS'!I18-'Historical FS'!I24)/SUM('Historical FS'!I47:I49),0)</f>
        <v>0.30015308490077913</v>
      </c>
      <c r="J21" s="51">
        <f>IFERROR(('Historical FS'!J18-'Historical FS'!J24)/SUM('Historical FS'!J47:J49),0)</f>
        <v>0.29241025338485616</v>
      </c>
      <c r="K21" s="51">
        <f>IFERROR(('Historical FS'!K18-'Historical FS'!K24)/SUM('Historical FS'!K47:K49),0)</f>
        <v>0.2589385678029722</v>
      </c>
      <c r="L21" s="51">
        <f>IFERROR(('Historical FS'!L18-'Historical FS'!L24)/SUM('Historical FS'!L47:L49),0)</f>
        <v>0.30135928613070662</v>
      </c>
      <c r="M21" s="50"/>
      <c r="N21" s="51">
        <f t="shared" si="2"/>
        <v>0.32384757957933852</v>
      </c>
      <c r="O21" s="51">
        <f t="shared" si="1"/>
        <v>0.30964923716888593</v>
      </c>
    </row>
    <row r="22" spans="2:15" x14ac:dyDescent="0.3">
      <c r="B22" s="8" t="s">
        <v>129</v>
      </c>
      <c r="C22" s="48">
        <f>'Historical FS'!C44</f>
        <v>0.55346508563899932</v>
      </c>
      <c r="D22" s="48">
        <f>'Historical FS'!D44</f>
        <v>0.54472879496416871</v>
      </c>
      <c r="E22" s="48">
        <f>'Historical FS'!E44</f>
        <v>0.53765175421119982</v>
      </c>
      <c r="F22" s="48">
        <f>'Historical FS'!F44</f>
        <v>0.4113385169958591</v>
      </c>
      <c r="G22" s="48">
        <f>'Historical FS'!G44</f>
        <v>0.52615112060007641</v>
      </c>
      <c r="H22" s="48">
        <f>'Historical FS'!H44</f>
        <v>0.47930743898214867</v>
      </c>
      <c r="I22" s="48">
        <f>'Historical FS'!I44</f>
        <v>0.5241945484759043</v>
      </c>
      <c r="J22" s="48">
        <f>'Historical FS'!J44</f>
        <v>0.40448332231922424</v>
      </c>
      <c r="K22" s="48">
        <f>'Historical FS'!K44</f>
        <v>0.34137106345444268</v>
      </c>
      <c r="L22" s="48">
        <f>'Historical FS'!L44</f>
        <v>0.34632439483829069</v>
      </c>
      <c r="N22" s="48">
        <f t="shared" si="2"/>
        <v>0.46690160404803144</v>
      </c>
      <c r="O22" s="48">
        <f t="shared" si="1"/>
        <v>0.50175099372902654</v>
      </c>
    </row>
    <row r="23" spans="2:15" x14ac:dyDescent="0.3">
      <c r="B23" s="8" t="s">
        <v>130</v>
      </c>
      <c r="C23" s="48">
        <f>IFERROR('Historical FS'!C33/SUM('Historical FS'!C47:C48),0)</f>
        <v>0.28186134946846209</v>
      </c>
      <c r="D23" s="48">
        <f>IFERROR('Historical FS'!D33/SUM('Historical FS'!D47:D48),0)</f>
        <v>0.27100220143557213</v>
      </c>
      <c r="E23" s="48">
        <f>IFERROR('Historical FS'!E33/SUM('Historical FS'!E47:E48),0)</f>
        <v>0.23846941371562763</v>
      </c>
      <c r="F23" s="48">
        <f>IFERROR('Historical FS'!F33/SUM('Historical FS'!F47:F48),0)</f>
        <v>0.22072255122049375</v>
      </c>
      <c r="G23" s="48">
        <f>IFERROR('Historical FS'!G33/SUM('Historical FS'!G47:G48),0)</f>
        <v>0.20940093196024379</v>
      </c>
      <c r="H23" s="48">
        <f>IFERROR('Historical FS'!H33/SUM('Historical FS'!H47:H48),0)</f>
        <v>0.20424051401449772</v>
      </c>
      <c r="I23" s="48">
        <f>IFERROR('Historical FS'!I33/SUM('Historical FS'!I47:I48),0)</f>
        <v>0.23880570494444295</v>
      </c>
      <c r="J23" s="48">
        <f>IFERROR('Historical FS'!J33/SUM('Historical FS'!J47:J48),0)</f>
        <v>0.22450686342414569</v>
      </c>
      <c r="K23" s="48">
        <f>IFERROR('Historical FS'!K33/SUM('Historical FS'!K47:K48),0)</f>
        <v>0.20192722617865025</v>
      </c>
      <c r="L23" s="48">
        <f>IFERROR('Historical FS'!L33/SUM('Historical FS'!L47:L48),0)</f>
        <v>0.23535616983997826</v>
      </c>
      <c r="N23" s="48">
        <f t="shared" si="2"/>
        <v>0.23262929262021143</v>
      </c>
      <c r="O23" s="48">
        <f t="shared" si="1"/>
        <v>0.22993151663206196</v>
      </c>
    </row>
    <row r="24" spans="2:15" x14ac:dyDescent="0.3">
      <c r="B24" s="8" t="s">
        <v>132</v>
      </c>
      <c r="C24" s="48">
        <f>IFERROR(C22*C23,0)</f>
        <v>0.15600041592188629</v>
      </c>
      <c r="D24" s="48">
        <f t="shared" ref="D24:K24" si="5">IFERROR(D22*D23,0)</f>
        <v>0.14762270262063612</v>
      </c>
      <c r="E24" s="48">
        <f t="shared" si="5"/>
        <v>0.12821349860992354</v>
      </c>
      <c r="F24" s="48">
        <f t="shared" si="5"/>
        <v>9.0791686886580444E-2</v>
      </c>
      <c r="G24" s="48">
        <f t="shared" si="5"/>
        <v>0.11017653500558262</v>
      </c>
      <c r="H24" s="48">
        <f t="shared" si="5"/>
        <v>9.789399770868655E-2</v>
      </c>
      <c r="I24" s="48">
        <f t="shared" si="5"/>
        <v>0.1251806486768223</v>
      </c>
      <c r="J24" s="48">
        <f t="shared" si="5"/>
        <v>9.0809282001266783E-2</v>
      </c>
      <c r="K24" s="48">
        <f t="shared" si="5"/>
        <v>6.893211194101162E-2</v>
      </c>
      <c r="L24" s="48">
        <f t="shared" ref="L24" si="6">IFERROR(L22*L23,0)</f>
        <v>8.1509583091288432E-2</v>
      </c>
      <c r="N24" s="48">
        <f t="shared" si="2"/>
        <v>0.10971304624636849</v>
      </c>
      <c r="O24" s="48">
        <f t="shared" si="1"/>
        <v>0.10403526635713459</v>
      </c>
    </row>
    <row r="25" spans="2:15" x14ac:dyDescent="0.3">
      <c r="B25" s="52" t="s">
        <v>131</v>
      </c>
      <c r="C25" s="56">
        <f>IFERROR(('Historical FS'!C18-'Historical FS'!C24)/'Historical FS'!C21,0)</f>
        <v>36.632631798291335</v>
      </c>
      <c r="D25" s="56">
        <f>IFERROR(('Historical FS'!D18-'Historical FS'!D24)/'Historical FS'!D21,0)</f>
        <v>46.80326704545454</v>
      </c>
      <c r="E25" s="56">
        <f>IFERROR(('Historical FS'!E18-'Historical FS'!E24)/'Historical FS'!E21,0)</f>
        <v>49.988979591836767</v>
      </c>
      <c r="F25" s="56">
        <f>IFERROR(('Historical FS'!F18-'Historical FS'!F24)/'Historical FS'!F21,0)</f>
        <v>71.228770425930904</v>
      </c>
      <c r="G25" s="56">
        <f>IFERROR(('Historical FS'!G18-'Historical FS'!G24)/'Historical FS'!G21,0)</f>
        <v>68.568603809983145</v>
      </c>
      <c r="H25" s="56">
        <f>IFERROR(('Historical FS'!H18-'Historical FS'!H24)/'Historical FS'!H21,0)</f>
        <v>28.449352765456698</v>
      </c>
      <c r="I25" s="56">
        <f>IFERROR(('Historical FS'!I18-'Historical FS'!I24)/'Historical FS'!I21,0)</f>
        <v>32.994429785986497</v>
      </c>
      <c r="J25" s="56">
        <f>IFERROR(('Historical FS'!J18-'Historical FS'!J24)/'Historical FS'!J21,0)</f>
        <v>44.355887809669362</v>
      </c>
      <c r="K25" s="56">
        <f>IFERROR(('Historical FS'!K18-'Historical FS'!K24)/'Historical FS'!K21,0)</f>
        <v>41.790692799496895</v>
      </c>
      <c r="L25" s="56">
        <f>IFERROR(('Historical FS'!L18-'Historical FS'!L24)/'Historical FS'!L21,0)</f>
        <v>37.39577708549669</v>
      </c>
      <c r="M25" s="53"/>
      <c r="N25" s="56">
        <f t="shared" si="2"/>
        <v>45.820839291760272</v>
      </c>
      <c r="O25" s="56">
        <f t="shared" si="1"/>
        <v>43.073290304583125</v>
      </c>
    </row>
    <row r="27" spans="2:15" x14ac:dyDescent="0.3">
      <c r="B27" s="49" t="s">
        <v>133</v>
      </c>
      <c r="C27" s="57">
        <f>IFERROR('Historical FS'!C6/'Historical FS'!C59,0)</f>
        <v>11.006367648383321</v>
      </c>
      <c r="D27" s="57">
        <f>IFERROR('Historical FS'!D6/'Historical FS'!D59,0)</f>
        <v>11.518150363345658</v>
      </c>
      <c r="E27" s="57">
        <f>IFERROR('Historical FS'!E6/'Historical FS'!E59,0)</f>
        <v>12.024780088301709</v>
      </c>
      <c r="F27" s="57">
        <f>IFERROR('Historical FS'!F6/'Historical FS'!F59,0)</f>
        <v>10.41199364025992</v>
      </c>
      <c r="G27" s="57">
        <f>IFERROR('Historical FS'!G6/'Historical FS'!G59,0)</f>
        <v>9.7216331624899599</v>
      </c>
      <c r="H27" s="57">
        <f>IFERROR('Historical FS'!H6/'Historical FS'!H59,0)</f>
        <v>10.08746782150965</v>
      </c>
      <c r="I27" s="57">
        <f>IFERROR('Historical FS'!I6/'Historical FS'!I59,0)</f>
        <v>11.258369447755706</v>
      </c>
      <c r="J27" s="57">
        <f>IFERROR('Historical FS'!J6/'Historical FS'!J59,0)</f>
        <v>8.3441089552181449</v>
      </c>
      <c r="K27" s="57">
        <f>IFERROR('Historical FS'!K6/'Historical FS'!K59,0)</f>
        <v>7.5169136032070751</v>
      </c>
      <c r="L27" s="57">
        <f>IFERROR('Historical FS'!L6/'Historical FS'!L59,0)</f>
        <v>7.4377908707035241</v>
      </c>
      <c r="M27" s="50"/>
      <c r="N27" s="57">
        <f t="shared" si="2"/>
        <v>9.9327575601174676</v>
      </c>
      <c r="O27" s="57">
        <f t="shared" si="1"/>
        <v>10.249730730884785</v>
      </c>
    </row>
    <row r="28" spans="2:15" x14ac:dyDescent="0.3">
      <c r="B28" s="8" t="s">
        <v>134</v>
      </c>
      <c r="C28" s="46">
        <f>IFERROR('Historical FS'!C6/'Historical FS'!C50,0)</f>
        <v>3.2269007639231799</v>
      </c>
      <c r="D28" s="46">
        <f>IFERROR('Historical FS'!D6/'Historical FS'!D50,0)</f>
        <v>3.6268963257564661</v>
      </c>
      <c r="E28" s="46">
        <f>IFERROR('Historical FS'!E6/'Historical FS'!E50,0)</f>
        <v>3.8458091254998759</v>
      </c>
      <c r="F28" s="46">
        <f>IFERROR('Historical FS'!F6/'Historical FS'!F50,0)</f>
        <v>3.5515520070927336</v>
      </c>
      <c r="G28" s="46">
        <f>IFERROR('Historical FS'!G6/'Historical FS'!G50,0)</f>
        <v>3.4907008975438916</v>
      </c>
      <c r="H28" s="46">
        <f>IFERROR('Historical FS'!H6/'Historical FS'!H50,0)</f>
        <v>3.5246789980746303</v>
      </c>
      <c r="I28" s="46">
        <f>IFERROR('Historical FS'!I6/'Historical FS'!I50,0)</f>
        <v>4.1337632508472559</v>
      </c>
      <c r="J28" s="46">
        <f>IFERROR('Historical FS'!J6/'Historical FS'!J50,0)</f>
        <v>3.3632319433451108</v>
      </c>
      <c r="K28" s="46">
        <f>IFERROR('Historical FS'!K6/'Historical FS'!K50,0)</f>
        <v>3.8493807531491444</v>
      </c>
      <c r="L28" s="46">
        <f>IFERROR('Historical FS'!L6/'Historical FS'!L50,0)</f>
        <v>4.3909450402827428</v>
      </c>
      <c r="N28" s="46">
        <f t="shared" si="2"/>
        <v>3.7003859105515033</v>
      </c>
      <c r="O28" s="46">
        <f t="shared" si="1"/>
        <v>3.5892241664246001</v>
      </c>
    </row>
    <row r="29" spans="2:15" x14ac:dyDescent="0.3">
      <c r="B29" s="8" t="s">
        <v>135</v>
      </c>
      <c r="C29" s="46">
        <f>IFERROR('Historical FS'!C6/'Historical FS'!C60,0)</f>
        <v>5.9039596880948473</v>
      </c>
      <c r="D29" s="46">
        <f>IFERROR('Historical FS'!D6/'Historical FS'!D60,0)</f>
        <v>6.0283991286329099</v>
      </c>
      <c r="E29" s="46">
        <f>IFERROR('Historical FS'!E6/'Historical FS'!E60,0)</f>
        <v>7.142029986388021</v>
      </c>
      <c r="F29" s="46">
        <f>IFERROR('Historical FS'!F6/'Historical FS'!F60,0)</f>
        <v>5.7336635020213631</v>
      </c>
      <c r="G29" s="46">
        <f>IFERROR('Historical FS'!G6/'Historical FS'!G60,0)</f>
        <v>6.3290398787199385</v>
      </c>
      <c r="H29" s="46">
        <f>IFERROR('Historical FS'!H6/'Historical FS'!H60,0)</f>
        <v>6.1082492555224679</v>
      </c>
      <c r="I29" s="46">
        <f>IFERROR('Historical FS'!I6/'Historical FS'!I60,0)</f>
        <v>5.9623548222466747</v>
      </c>
      <c r="J29" s="46">
        <f>IFERROR('Historical FS'!J6/'Historical FS'!J60,0)</f>
        <v>5.7159979992628864</v>
      </c>
      <c r="K29" s="46">
        <f>IFERROR('Historical FS'!K6/'Historical FS'!K60,0)</f>
        <v>4.7296236945350056</v>
      </c>
      <c r="L29" s="46">
        <f>IFERROR('Historical FS'!L6/'Historical FS'!L60,0)</f>
        <v>5.5531458915667296</v>
      </c>
      <c r="N29" s="46">
        <f t="shared" si="2"/>
        <v>5.9206463846990847</v>
      </c>
      <c r="O29" s="46">
        <f t="shared" si="1"/>
        <v>5.9331572551707605</v>
      </c>
    </row>
    <row r="30" spans="2:15" x14ac:dyDescent="0.3">
      <c r="B30" s="8" t="s">
        <v>136</v>
      </c>
      <c r="C30" s="46">
        <f>IFERROR('Historical FS'!C6/'Historical FS'!C53,0)</f>
        <v>4.7706376533233401</v>
      </c>
      <c r="D30" s="46">
        <f>IFERROR('Historical FS'!D6/'Historical FS'!D53,0)</f>
        <v>5.1184418279424371</v>
      </c>
      <c r="E30" s="46">
        <f>IFERROR('Historical FS'!E6/'Historical FS'!E53,0)</f>
        <v>4.1774086378737545</v>
      </c>
      <c r="F30" s="46">
        <f>IFERROR('Historical FS'!F6/'Historical FS'!F53,0)</f>
        <v>4.5590724451682032</v>
      </c>
      <c r="G30" s="46">
        <f>IFERROR('Historical FS'!G6/'Historical FS'!G53,0)</f>
        <v>4.50789606241828</v>
      </c>
      <c r="H30" s="46">
        <f>IFERROR('Historical FS'!H6/'Historical FS'!H53,0)</f>
        <v>2.9615873631583485</v>
      </c>
      <c r="I30" s="46">
        <f>IFERROR('Historical FS'!I6/'Historical FS'!I53,0)</f>
        <v>3.2222976861794139</v>
      </c>
      <c r="J30" s="46">
        <f>IFERROR('Historical FS'!J6/'Historical FS'!J53,0)</f>
        <v>3.7061903006220001</v>
      </c>
      <c r="K30" s="46">
        <f>IFERROR('Historical FS'!K6/'Historical FS'!K53,0)</f>
        <v>5.2728689305787571</v>
      </c>
      <c r="L30" s="46">
        <f>IFERROR('Historical FS'!L6/'Historical FS'!L53,0)</f>
        <v>5.9767488207179316</v>
      </c>
      <c r="N30" s="46">
        <f t="shared" si="2"/>
        <v>4.4273149727982464</v>
      </c>
      <c r="O30" s="46">
        <f t="shared" si="1"/>
        <v>4.533484253793242</v>
      </c>
    </row>
    <row r="31" spans="2:15" x14ac:dyDescent="0.3">
      <c r="B31" s="52" t="s">
        <v>137</v>
      </c>
      <c r="C31" s="56">
        <f>IFERROR('Historical FS'!C6/SUM('Historical FS'!C47:C48),0)</f>
        <v>3.02542817672719</v>
      </c>
      <c r="D31" s="56">
        <f>IFERROR('Historical FS'!D6/SUM('Historical FS'!D47:D48),0)</f>
        <v>2.870988284314139</v>
      </c>
      <c r="E31" s="56">
        <f>IFERROR('Historical FS'!E6/SUM('Historical FS'!E47:E48),0)</f>
        <v>2.1872618708255556</v>
      </c>
      <c r="F31" s="56">
        <f>IFERROR('Historical FS'!F6/SUM('Historical FS'!F47:F48),0)</f>
        <v>1.9808269188533763</v>
      </c>
      <c r="G31" s="56">
        <f>IFERROR('Historical FS'!G6/SUM('Historical FS'!G47:G48),0)</f>
        <v>2.0004863125027494</v>
      </c>
      <c r="H31" s="56">
        <f>IFERROR('Historical FS'!H6/SUM('Historical FS'!H47:H48),0)</f>
        <v>2.0315747237488848</v>
      </c>
      <c r="I31" s="56">
        <f>IFERROR('Historical FS'!I6/SUM('Historical FS'!I47:I48),0)</f>
        <v>1.995156048867935</v>
      </c>
      <c r="J31" s="56">
        <f>IFERROR('Historical FS'!J6/SUM('Historical FS'!J47:J48),0)</f>
        <v>1.6954785499937921</v>
      </c>
      <c r="K31" s="56">
        <f>IFERROR('Historical FS'!K6/SUM('Historical FS'!K47:K48),0)</f>
        <v>2.1070233919991659</v>
      </c>
      <c r="L31" s="56">
        <f>IFERROR('Historical FS'!L6/SUM('Historical FS'!L47:L48),0)</f>
        <v>2.1565841661857039</v>
      </c>
      <c r="M31" s="53"/>
      <c r="N31" s="56">
        <f t="shared" si="2"/>
        <v>2.2050808444018495</v>
      </c>
      <c r="O31" s="56">
        <f t="shared" si="1"/>
        <v>2.0692990578740256</v>
      </c>
    </row>
    <row r="32" spans="2:15" x14ac:dyDescent="0.3"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2:15" x14ac:dyDescent="0.3">
      <c r="B33" s="47" t="s">
        <v>141</v>
      </c>
    </row>
    <row r="34" spans="2:15" x14ac:dyDescent="0.3">
      <c r="B34" s="49" t="s">
        <v>138</v>
      </c>
      <c r="C34" s="61">
        <f>IFERROR(365/C27,0)</f>
        <v>33.162621099033821</v>
      </c>
      <c r="D34" s="61">
        <f t="shared" ref="D34:L34" si="7">IFERROR(365/D27,0)</f>
        <v>31.689115742189273</v>
      </c>
      <c r="E34" s="61">
        <f t="shared" si="7"/>
        <v>30.353985463325834</v>
      </c>
      <c r="F34" s="61">
        <f t="shared" si="7"/>
        <v>35.055726368162503</v>
      </c>
      <c r="G34" s="61">
        <f t="shared" si="7"/>
        <v>37.545131964896534</v>
      </c>
      <c r="H34" s="61">
        <f t="shared" si="7"/>
        <v>36.183510714324697</v>
      </c>
      <c r="I34" s="61">
        <f t="shared" si="7"/>
        <v>32.420325313872226</v>
      </c>
      <c r="J34" s="61">
        <f t="shared" si="7"/>
        <v>43.743436472235949</v>
      </c>
      <c r="K34" s="61">
        <f t="shared" si="7"/>
        <v>48.557163121347244</v>
      </c>
      <c r="L34" s="61">
        <f t="shared" si="7"/>
        <v>49.073711044725229</v>
      </c>
      <c r="M34" s="50"/>
      <c r="N34" s="61">
        <f t="shared" ref="N34:N41" si="8">IFERROR(AVERAGE(C34:L34),0)</f>
        <v>37.77847273041133</v>
      </c>
      <c r="O34" s="61">
        <f t="shared" ref="O34:O37" si="9">IFERROR(MEDIAN(C34:L34),0)</f>
        <v>35.619618541243597</v>
      </c>
    </row>
    <row r="35" spans="2:15" x14ac:dyDescent="0.3">
      <c r="B35" s="8" t="s">
        <v>139</v>
      </c>
      <c r="C35" s="60">
        <f>IFERROR(365/C28,0)</f>
        <v>113.11162837131772</v>
      </c>
      <c r="D35" s="60">
        <f t="shared" ref="D35:L35" si="10">IFERROR(365/D28,0)</f>
        <v>100.63700950257284</v>
      </c>
      <c r="E35" s="60">
        <f t="shared" si="10"/>
        <v>94.908506399822301</v>
      </c>
      <c r="F35" s="60">
        <f t="shared" si="10"/>
        <v>102.77197103437196</v>
      </c>
      <c r="G35" s="60">
        <f t="shared" si="10"/>
        <v>104.56352770207822</v>
      </c>
      <c r="H35" s="60">
        <f t="shared" si="10"/>
        <v>103.55552951045547</v>
      </c>
      <c r="I35" s="60">
        <f t="shared" si="10"/>
        <v>88.297267610860303</v>
      </c>
      <c r="J35" s="60">
        <f t="shared" si="10"/>
        <v>108.52656199410578</v>
      </c>
      <c r="K35" s="60">
        <f t="shared" si="10"/>
        <v>94.820446042235943</v>
      </c>
      <c r="L35" s="60">
        <f t="shared" si="10"/>
        <v>83.125613427513272</v>
      </c>
      <c r="N35" s="60">
        <f t="shared" si="8"/>
        <v>99.431806159533394</v>
      </c>
      <c r="O35" s="60">
        <f t="shared" si="9"/>
        <v>101.7044902684724</v>
      </c>
    </row>
    <row r="36" spans="2:15" x14ac:dyDescent="0.3">
      <c r="B36" s="8" t="s">
        <v>140</v>
      </c>
      <c r="C36" s="60">
        <f>IFERROR(365/C29,0)</f>
        <v>61.822915345443711</v>
      </c>
      <c r="D36" s="60">
        <f t="shared" ref="D36:L36" si="11">IFERROR(365/D29,0)</f>
        <v>60.546754156732959</v>
      </c>
      <c r="E36" s="60">
        <f t="shared" si="11"/>
        <v>51.105918162714616</v>
      </c>
      <c r="F36" s="60">
        <f t="shared" si="11"/>
        <v>63.659124723891068</v>
      </c>
      <c r="G36" s="60">
        <f t="shared" si="11"/>
        <v>57.670674698580349</v>
      </c>
      <c r="H36" s="60">
        <f t="shared" si="11"/>
        <v>59.755256331428114</v>
      </c>
      <c r="I36" s="60">
        <f t="shared" si="11"/>
        <v>61.217423464654587</v>
      </c>
      <c r="J36" s="60">
        <f t="shared" si="11"/>
        <v>63.855865598110604</v>
      </c>
      <c r="K36" s="60">
        <f t="shared" si="11"/>
        <v>77.173158706421162</v>
      </c>
      <c r="L36" s="60">
        <f t="shared" si="11"/>
        <v>65.728509051834251</v>
      </c>
      <c r="N36" s="60">
        <f t="shared" si="8"/>
        <v>62.253560023981152</v>
      </c>
      <c r="O36" s="60">
        <f t="shared" si="9"/>
        <v>61.520169405049145</v>
      </c>
    </row>
    <row r="37" spans="2:15" x14ac:dyDescent="0.3">
      <c r="B37" s="52" t="s">
        <v>145</v>
      </c>
      <c r="C37" s="62">
        <f>IFERROR(SUM(C34,C36)-C35,0)</f>
        <v>-18.126091926840189</v>
      </c>
      <c r="D37" s="62">
        <f t="shared" ref="D37:L37" si="12">IFERROR(SUM(D34,D36)-D35,0)</f>
        <v>-8.4011396036506056</v>
      </c>
      <c r="E37" s="62">
        <f t="shared" si="12"/>
        <v>-13.448602773781857</v>
      </c>
      <c r="F37" s="62">
        <f t="shared" si="12"/>
        <v>-4.0571199423183799</v>
      </c>
      <c r="G37" s="62">
        <f t="shared" si="12"/>
        <v>-9.3477210386013354</v>
      </c>
      <c r="H37" s="62">
        <f t="shared" si="12"/>
        <v>-7.6167624647026599</v>
      </c>
      <c r="I37" s="62">
        <f t="shared" si="12"/>
        <v>5.3404811676665105</v>
      </c>
      <c r="J37" s="62">
        <f t="shared" si="12"/>
        <v>-0.92725992375922317</v>
      </c>
      <c r="K37" s="62">
        <f t="shared" si="12"/>
        <v>30.909875785532464</v>
      </c>
      <c r="L37" s="62">
        <f t="shared" si="12"/>
        <v>31.676606669046208</v>
      </c>
      <c r="M37" s="53"/>
      <c r="N37" s="62">
        <f t="shared" si="8"/>
        <v>0.60022659485909313</v>
      </c>
      <c r="O37" s="62">
        <f t="shared" si="9"/>
        <v>-5.8369412035105199</v>
      </c>
    </row>
    <row r="39" spans="2:15" x14ac:dyDescent="0.3">
      <c r="B39" s="49" t="s">
        <v>142</v>
      </c>
      <c r="C39" s="51">
        <f>IFERROR('Historical FS'!C106/'Historical FS'!C6,0)</f>
        <v>0.11472893210271047</v>
      </c>
      <c r="D39" s="51">
        <f>IFERROR('Historical FS'!D106/'Historical FS'!D6,0)</f>
        <v>8.723226732357664E-2</v>
      </c>
      <c r="E39" s="51">
        <f>IFERROR('Historical FS'!E106/'Historical FS'!E6,0)</f>
        <v>0.15716298718634142</v>
      </c>
      <c r="F39" s="51">
        <f>IFERROR('Historical FS'!F106/'Historical FS'!F6,0)</f>
        <v>0.10140293546868641</v>
      </c>
      <c r="G39" s="51">
        <f>IFERROR('Historical FS'!G106/'Historical FS'!G6,0)</f>
        <v>0.12561643550644744</v>
      </c>
      <c r="H39" s="51">
        <f>IFERROR('Historical FS'!H106/'Historical FS'!H6,0)</f>
        <v>0.12835360260039821</v>
      </c>
      <c r="I39" s="51">
        <f>IFERROR('Historical FS'!I106/'Historical FS'!I6,0)</f>
        <v>0.15031974766528541</v>
      </c>
      <c r="J39" s="51">
        <f>IFERROR('Historical FS'!J106/'Historical FS'!J6,0)</f>
        <v>0.16963964557295491</v>
      </c>
      <c r="K39" s="51">
        <f>IFERROR('Historical FS'!K106/'Historical FS'!K6,0)</f>
        <v>3.3898508931565902E-2</v>
      </c>
      <c r="L39" s="51">
        <f>IFERROR('Historical FS'!L106/'Historical FS'!L6,0)</f>
        <v>0.12158890809975127</v>
      </c>
      <c r="M39" s="50"/>
      <c r="N39" s="51">
        <f t="shared" si="8"/>
        <v>0.11899439704577182</v>
      </c>
      <c r="O39" s="51">
        <f t="shared" ref="O39:O41" si="13">IFERROR(MEDIAN(C39:L39),0)</f>
        <v>0.12360267180309936</v>
      </c>
    </row>
    <row r="40" spans="2:15" x14ac:dyDescent="0.3">
      <c r="B40" s="8" t="s">
        <v>143</v>
      </c>
      <c r="C40" s="48">
        <f>IFERROR('Historical FS'!C106/'Historical FS'!C64,0)</f>
        <v>0.17361740594893132</v>
      </c>
      <c r="D40" s="48">
        <f>IFERROR('Historical FS'!D106/'Historical FS'!D64,0)</f>
        <v>0.1332312524538673</v>
      </c>
      <c r="E40" s="48">
        <f>IFERROR('Historical FS'!E106/'Historical FS'!E64,0)</f>
        <v>0.21242008025358391</v>
      </c>
      <c r="F40" s="48">
        <f>IFERROR('Historical FS'!F106/'Historical FS'!F64,0)</f>
        <v>0.12312024241466678</v>
      </c>
      <c r="G40" s="48">
        <f>IFERROR('Historical FS'!G106/'Historical FS'!G64,0)</f>
        <v>0.15355418833027695</v>
      </c>
      <c r="H40" s="48">
        <f>IFERROR('Historical FS'!H106/'Historical FS'!H64,0)</f>
        <v>0.15198254152296409</v>
      </c>
      <c r="I40" s="48">
        <f>IFERROR('Historical FS'!I106/'Historical FS'!I64,0)</f>
        <v>0.18826097706217076</v>
      </c>
      <c r="J40" s="48">
        <f>IFERROR('Historical FS'!J106/'Historical FS'!J64,0)</f>
        <v>0.18095251663691198</v>
      </c>
      <c r="K40" s="48">
        <f>IFERROR('Historical FS'!K106/'Historical FS'!K64,0)</f>
        <v>4.2968530513628325E-2</v>
      </c>
      <c r="L40" s="48">
        <f>IFERROR('Historical FS'!L106/'Historical FS'!L64,0)</f>
        <v>0.16266636875357118</v>
      </c>
      <c r="N40" s="48">
        <f t="shared" si="8"/>
        <v>0.15227741038905726</v>
      </c>
      <c r="O40" s="48">
        <f t="shared" si="13"/>
        <v>0.15811027854192405</v>
      </c>
    </row>
    <row r="41" spans="2:15" x14ac:dyDescent="0.3">
      <c r="B41" s="52" t="s">
        <v>144</v>
      </c>
      <c r="C41" s="54">
        <f>IFERROR('Historical FS'!C106/'Historical FS'!C49,0)</f>
        <v>5.6272526590407379</v>
      </c>
      <c r="D41" s="54">
        <f>IFERROR('Historical FS'!D106/'Historical FS'!D49,0)</f>
        <v>2.8402085276323028</v>
      </c>
      <c r="E41" s="54">
        <f>IFERROR('Historical FS'!E106/'Historical FS'!E49,0)</f>
        <v>6.9378885830059689</v>
      </c>
      <c r="F41" s="54">
        <f>IFERROR('Historical FS'!F106/'Historical FS'!F49,0)</f>
        <v>2.7257200985116175</v>
      </c>
      <c r="G41" s="54">
        <f>IFERROR('Historical FS'!G106/'Historical FS'!G49,0)</f>
        <v>3.9619818907822961</v>
      </c>
      <c r="H41" s="54">
        <f>IFERROR('Historical FS'!H106/'Historical FS'!H49,0)</f>
        <v>1.8714307365868446</v>
      </c>
      <c r="I41" s="54">
        <f>IFERROR('Historical FS'!I106/'Historical FS'!I49,0)</f>
        <v>2.7162717925793474</v>
      </c>
      <c r="J41" s="54">
        <f>IFERROR('Historical FS'!J106/'Historical FS'!J49,0)</f>
        <v>3.3695751610070261</v>
      </c>
      <c r="K41" s="54">
        <f>IFERROR('Historical FS'!K106/'Historical FS'!K49,0)</f>
        <v>0.6216538112522686</v>
      </c>
      <c r="L41" s="54">
        <f>IFERROR('Historical FS'!L106/'Historical FS'!L49,0)</f>
        <v>2.1698161045627185</v>
      </c>
      <c r="M41" s="53"/>
      <c r="N41" s="54">
        <f t="shared" si="8"/>
        <v>3.2841799364961135</v>
      </c>
      <c r="O41" s="54">
        <f t="shared" si="13"/>
        <v>2.7829643130719601</v>
      </c>
    </row>
  </sheetData>
  <mergeCells count="1">
    <mergeCell ref="B2:O2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FBE68D59-851C-4329-885F-1B380244643D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 xr2:uid="{D2B7EFEC-7A17-42C4-8E0A-064E71B28D53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935E-1B75-443C-A002-D154F8373BFB}">
  <dimension ref="B4:AG24"/>
  <sheetViews>
    <sheetView showGridLines="0" workbookViewId="0"/>
  </sheetViews>
  <sheetFormatPr defaultRowHeight="14.4" x14ac:dyDescent="0.3"/>
  <cols>
    <col min="1" max="1" width="1.88671875" customWidth="1"/>
    <col min="2" max="2" width="10" customWidth="1"/>
    <col min="3" max="3" width="10.77734375" customWidth="1"/>
    <col min="4" max="4" width="12.6640625" customWidth="1"/>
    <col min="5" max="5" width="11.6640625" bestFit="1" customWidth="1"/>
    <col min="6" max="6" width="1.88671875" customWidth="1"/>
    <col min="7" max="7" width="9.88671875" customWidth="1"/>
    <col min="8" max="8" width="8.6640625" customWidth="1"/>
    <col min="9" max="9" width="12.77734375" customWidth="1"/>
    <col min="10" max="10" width="13.6640625" bestFit="1" customWidth="1"/>
    <col min="11" max="11" width="1.88671875" customWidth="1"/>
    <col min="12" max="12" width="7.5546875" customWidth="1"/>
    <col min="13" max="13" width="10.5546875" customWidth="1"/>
    <col min="14" max="14" width="10.77734375" customWidth="1"/>
    <col min="15" max="15" width="13.6640625" bestFit="1" customWidth="1"/>
    <col min="24" max="24" width="2" customWidth="1"/>
    <col min="27" max="27" width="9.6640625" bestFit="1" customWidth="1"/>
    <col min="28" max="28" width="12" customWidth="1"/>
    <col min="29" max="29" width="11.6640625" bestFit="1" customWidth="1"/>
    <col min="33" max="33" width="10.33203125" customWidth="1"/>
    <col min="34" max="34" width="9.44140625" customWidth="1"/>
    <col min="35" max="35" width="11.77734375" customWidth="1"/>
  </cols>
  <sheetData>
    <row r="4" spans="2:18" x14ac:dyDescent="0.3">
      <c r="B4" s="75" t="str">
        <f>'Data Sheet'!B1&amp;" - "&amp;'Data Sheet'!A17 &amp; " Forecasting"</f>
        <v>ASIAN PAINTS LTD - Sales Forecasting</v>
      </c>
      <c r="C4" s="75"/>
      <c r="D4" s="75"/>
      <c r="E4" s="75"/>
      <c r="G4" s="75" t="str">
        <f>'Data Sheet'!B1&amp; " - "&amp;'Historical FS'!B18 &amp; " Forecasting"</f>
        <v>ASIAN PAINTS LTD - EBITDA Forecasting</v>
      </c>
      <c r="H4" s="75"/>
      <c r="I4" s="75"/>
      <c r="J4" s="75"/>
      <c r="L4" s="75" t="str">
        <f>'Data Sheet'!B1&amp; " - "&amp;'Historical FS'!B38 &amp; " Forecasting"</f>
        <v>ASIAN PAINTS LTD - Earnings Per Share Forecasting</v>
      </c>
      <c r="M4" s="75"/>
      <c r="N4" s="75"/>
      <c r="O4" s="75"/>
    </row>
    <row r="5" spans="2:18" x14ac:dyDescent="0.3">
      <c r="B5" s="64" t="s">
        <v>150</v>
      </c>
      <c r="C5" s="64" t="s">
        <v>151</v>
      </c>
      <c r="D5" s="64" t="s">
        <v>0</v>
      </c>
      <c r="E5" s="64" t="s">
        <v>9</v>
      </c>
      <c r="G5" s="64" t="s">
        <v>150</v>
      </c>
      <c r="H5" s="64" t="s">
        <v>151</v>
      </c>
      <c r="I5" s="64" t="s">
        <v>64</v>
      </c>
      <c r="J5" s="64" t="s">
        <v>119</v>
      </c>
      <c r="L5" s="64" t="s">
        <v>150</v>
      </c>
      <c r="M5" s="64" t="s">
        <v>151</v>
      </c>
      <c r="N5" s="64" t="s">
        <v>152</v>
      </c>
      <c r="O5" s="64" t="s">
        <v>153</v>
      </c>
    </row>
    <row r="6" spans="2:18" x14ac:dyDescent="0.3">
      <c r="B6" s="8">
        <v>1</v>
      </c>
      <c r="C6" s="65">
        <f>'Data Sheet'!$B$16</f>
        <v>41729</v>
      </c>
      <c r="D6" s="68">
        <f t="array" ref="D6:D15">TRANSPOSE('Data Sheet'!B17:K17)</f>
        <v>12220.37</v>
      </c>
      <c r="E6" s="13" t="s">
        <v>73</v>
      </c>
      <c r="G6" s="8">
        <v>1</v>
      </c>
      <c r="H6" s="65">
        <f>'Data Sheet'!$B$16</f>
        <v>41729</v>
      </c>
      <c r="I6" s="68">
        <f t="array" ref="I6:I15">TRANSPOSE('Historical FS'!C18:L18)</f>
        <v>2003.6600000000014</v>
      </c>
      <c r="J6" s="13" t="s">
        <v>73</v>
      </c>
      <c r="L6" s="8">
        <v>1</v>
      </c>
      <c r="M6" s="65">
        <f>'Data Sheet'!$B$16</f>
        <v>41729</v>
      </c>
      <c r="N6" s="68">
        <f t="array" ref="N6:N15">TRANSPOSE('Historical FS'!C38:L38)</f>
        <v>11.869266055045887</v>
      </c>
      <c r="O6" s="13" t="s">
        <v>73</v>
      </c>
    </row>
    <row r="7" spans="2:18" x14ac:dyDescent="0.3">
      <c r="B7" s="8">
        <f t="shared" ref="B7:B20" si="0">B6+1</f>
        <v>2</v>
      </c>
      <c r="C7" s="65">
        <f t="shared" ref="C7:C20" si="1">C6+365</f>
        <v>42094</v>
      </c>
      <c r="D7" s="68">
        <v>13615.26</v>
      </c>
      <c r="E7" s="67">
        <f>D7/D6-1</f>
        <v>0.11414466174101112</v>
      </c>
      <c r="G7" s="8">
        <f t="shared" ref="G7:G20" si="2">G6+1</f>
        <v>2</v>
      </c>
      <c r="H7" s="65">
        <f t="shared" ref="H7:H20" si="3">H6+365</f>
        <v>42094</v>
      </c>
      <c r="I7" s="68">
        <v>2242.89</v>
      </c>
      <c r="J7" s="67">
        <f>I7/I6-1</f>
        <v>0.11939650439695271</v>
      </c>
      <c r="L7" s="8">
        <f t="shared" ref="L7:L20" si="4">L6+1</f>
        <v>2</v>
      </c>
      <c r="M7" s="65">
        <f t="shared" ref="M7:M20" si="5">M6+365</f>
        <v>42094</v>
      </c>
      <c r="N7" s="68">
        <v>13.398561301084236</v>
      </c>
      <c r="O7" s="67">
        <f>N7/N6-1</f>
        <v>0.12884497145366547</v>
      </c>
    </row>
    <row r="8" spans="2:18" x14ac:dyDescent="0.3">
      <c r="B8" s="8">
        <f t="shared" si="0"/>
        <v>3</v>
      </c>
      <c r="C8" s="65">
        <f t="shared" si="1"/>
        <v>42459</v>
      </c>
      <c r="D8" s="68">
        <v>14271.49</v>
      </c>
      <c r="E8" s="67">
        <f t="shared" ref="E8:E20" si="6">D8/D7-1</f>
        <v>4.8198124751198224E-2</v>
      </c>
      <c r="G8" s="8">
        <f t="shared" si="2"/>
        <v>3</v>
      </c>
      <c r="H8" s="65">
        <f t="shared" si="3"/>
        <v>42459</v>
      </c>
      <c r="I8" s="68">
        <v>2725.0400000000013</v>
      </c>
      <c r="J8" s="67">
        <f t="shared" ref="J8:J20" si="7">I8/I7-1</f>
        <v>0.21496818836412013</v>
      </c>
      <c r="L8" s="8">
        <f t="shared" si="4"/>
        <v>3</v>
      </c>
      <c r="M8" s="65">
        <f t="shared" si="5"/>
        <v>42459</v>
      </c>
      <c r="N8" s="68">
        <v>16.221538782318614</v>
      </c>
      <c r="O8" s="67">
        <f t="shared" ref="O8:O20" si="8">N8/N7-1</f>
        <v>0.21069258241972122</v>
      </c>
      <c r="R8" s="78"/>
    </row>
    <row r="9" spans="2:18" x14ac:dyDescent="0.3">
      <c r="B9" s="8">
        <f t="shared" si="0"/>
        <v>4</v>
      </c>
      <c r="C9" s="65">
        <f t="shared" si="1"/>
        <v>42824</v>
      </c>
      <c r="D9" s="68">
        <v>15061.99</v>
      </c>
      <c r="E9" s="67">
        <f t="shared" si="6"/>
        <v>5.5390151974320734E-2</v>
      </c>
      <c r="G9" s="8">
        <f t="shared" si="2"/>
        <v>4</v>
      </c>
      <c r="H9" s="65">
        <f t="shared" si="3"/>
        <v>42824</v>
      </c>
      <c r="I9" s="68">
        <v>2993.76</v>
      </c>
      <c r="J9" s="67">
        <f t="shared" si="7"/>
        <v>9.861139652995865E-2</v>
      </c>
      <c r="L9" s="8">
        <f t="shared" si="4"/>
        <v>4</v>
      </c>
      <c r="M9" s="65">
        <f t="shared" si="5"/>
        <v>42824</v>
      </c>
      <c r="N9" s="68">
        <v>17.497393661384489</v>
      </c>
      <c r="O9" s="67">
        <f t="shared" si="8"/>
        <v>7.8651902028958443E-2</v>
      </c>
      <c r="R9" s="78"/>
    </row>
    <row r="10" spans="2:18" x14ac:dyDescent="0.3">
      <c r="B10" s="8">
        <f t="shared" si="0"/>
        <v>5</v>
      </c>
      <c r="C10" s="65">
        <f t="shared" si="1"/>
        <v>43189</v>
      </c>
      <c r="D10" s="68">
        <v>16824.55</v>
      </c>
      <c r="E10" s="67">
        <f t="shared" si="6"/>
        <v>0.11702039371955486</v>
      </c>
      <c r="G10" s="8">
        <f t="shared" si="2"/>
        <v>5</v>
      </c>
      <c r="H10" s="65">
        <f t="shared" si="3"/>
        <v>43189</v>
      </c>
      <c r="I10" s="68">
        <v>3204.0100000000011</v>
      </c>
      <c r="J10" s="67">
        <f t="shared" si="7"/>
        <v>7.0229410507188561E-2</v>
      </c>
      <c r="L10" s="8">
        <f t="shared" si="4"/>
        <v>5</v>
      </c>
      <c r="M10" s="65">
        <f t="shared" si="5"/>
        <v>43189</v>
      </c>
      <c r="N10" s="68">
        <v>18.360195996663897</v>
      </c>
      <c r="O10" s="67">
        <f t="shared" si="8"/>
        <v>4.9310334554771629E-2</v>
      </c>
      <c r="R10" s="78"/>
    </row>
    <row r="11" spans="2:18" x14ac:dyDescent="0.3">
      <c r="B11" s="8">
        <f t="shared" si="0"/>
        <v>6</v>
      </c>
      <c r="C11" s="65">
        <f t="shared" si="1"/>
        <v>43554</v>
      </c>
      <c r="D11" s="68">
        <v>19240.13</v>
      </c>
      <c r="E11" s="67">
        <f t="shared" si="6"/>
        <v>0.14357471670861943</v>
      </c>
      <c r="G11" s="8">
        <f t="shared" si="2"/>
        <v>6</v>
      </c>
      <c r="H11" s="65">
        <f t="shared" si="3"/>
        <v>43554</v>
      </c>
      <c r="I11" s="68">
        <v>3764.9400000000014</v>
      </c>
      <c r="J11" s="67">
        <f t="shared" si="7"/>
        <v>0.17507123885381137</v>
      </c>
      <c r="L11" s="8">
        <f t="shared" si="4"/>
        <v>6</v>
      </c>
      <c r="M11" s="65">
        <f t="shared" si="5"/>
        <v>43554</v>
      </c>
      <c r="N11" s="68">
        <v>20.165450375312773</v>
      </c>
      <c r="O11" s="67">
        <f t="shared" si="8"/>
        <v>9.8324352255111824E-2</v>
      </c>
      <c r="R11" s="78"/>
    </row>
    <row r="12" spans="2:18" x14ac:dyDescent="0.3">
      <c r="B12" s="8">
        <f t="shared" si="0"/>
        <v>7</v>
      </c>
      <c r="C12" s="65">
        <f t="shared" si="1"/>
        <v>43919</v>
      </c>
      <c r="D12" s="68">
        <v>20211.25</v>
      </c>
      <c r="E12" s="67">
        <f t="shared" si="6"/>
        <v>5.0473671435691925E-2</v>
      </c>
      <c r="G12" s="8">
        <f t="shared" si="2"/>
        <v>7</v>
      </c>
      <c r="H12" s="65">
        <f t="shared" si="3"/>
        <v>43919</v>
      </c>
      <c r="I12" s="68">
        <v>4156.8199999999979</v>
      </c>
      <c r="J12" s="67">
        <f t="shared" si="7"/>
        <v>0.10408665211132084</v>
      </c>
      <c r="L12" s="8">
        <f t="shared" si="4"/>
        <v>7</v>
      </c>
      <c r="M12" s="65">
        <f t="shared" si="5"/>
        <v>43919</v>
      </c>
      <c r="N12" s="68">
        <v>25.220391993327752</v>
      </c>
      <c r="O12" s="67">
        <f t="shared" si="8"/>
        <v>0.25067338065523237</v>
      </c>
      <c r="R12" s="78"/>
    </row>
    <row r="13" spans="2:18" x14ac:dyDescent="0.3">
      <c r="B13" s="8">
        <f t="shared" si="0"/>
        <v>8</v>
      </c>
      <c r="C13" s="65">
        <f t="shared" si="1"/>
        <v>44284</v>
      </c>
      <c r="D13" s="68">
        <v>21712.79</v>
      </c>
      <c r="E13" s="67">
        <f t="shared" si="6"/>
        <v>7.4292287711052118E-2</v>
      </c>
      <c r="G13" s="8">
        <f t="shared" si="2"/>
        <v>8</v>
      </c>
      <c r="H13" s="65">
        <f t="shared" si="3"/>
        <v>44284</v>
      </c>
      <c r="I13" s="68">
        <v>4855.6000000000031</v>
      </c>
      <c r="J13" s="67">
        <f t="shared" si="7"/>
        <v>0.16810446447043792</v>
      </c>
      <c r="L13" s="8">
        <f t="shared" si="4"/>
        <v>8</v>
      </c>
      <c r="M13" s="65">
        <f t="shared" si="5"/>
        <v>44284</v>
      </c>
      <c r="N13" s="68">
        <v>29.973936613844902</v>
      </c>
      <c r="O13" s="67">
        <f t="shared" si="8"/>
        <v>0.18848020370875829</v>
      </c>
      <c r="R13" s="78"/>
    </row>
    <row r="14" spans="2:18" x14ac:dyDescent="0.3">
      <c r="B14" s="8">
        <f t="shared" si="0"/>
        <v>9</v>
      </c>
      <c r="C14" s="65">
        <f t="shared" si="1"/>
        <v>44649</v>
      </c>
      <c r="D14" s="68">
        <v>29101.279999999999</v>
      </c>
      <c r="E14" s="67">
        <f t="shared" si="6"/>
        <v>0.34028284711453471</v>
      </c>
      <c r="G14" s="8">
        <f t="shared" si="2"/>
        <v>9</v>
      </c>
      <c r="H14" s="65">
        <f t="shared" si="3"/>
        <v>44649</v>
      </c>
      <c r="I14" s="68">
        <v>4803.6099999999988</v>
      </c>
      <c r="J14" s="67">
        <f t="shared" si="7"/>
        <v>-1.0707224647830249E-2</v>
      </c>
      <c r="L14" s="8">
        <f t="shared" si="4"/>
        <v>9</v>
      </c>
      <c r="M14" s="65">
        <f t="shared" si="5"/>
        <v>44649</v>
      </c>
      <c r="N14" s="68">
        <v>29.075583819849857</v>
      </c>
      <c r="O14" s="67">
        <f t="shared" si="8"/>
        <v>-2.9971131438908061E-2</v>
      </c>
      <c r="R14" s="78"/>
    </row>
    <row r="15" spans="2:18" x14ac:dyDescent="0.3">
      <c r="B15" s="8">
        <f t="shared" si="0"/>
        <v>10</v>
      </c>
      <c r="C15" s="65">
        <f t="shared" si="1"/>
        <v>45014</v>
      </c>
      <c r="D15" s="68">
        <v>34488.589999999997</v>
      </c>
      <c r="E15" s="67">
        <f t="shared" si="6"/>
        <v>0.18512278497715551</v>
      </c>
      <c r="G15" s="8">
        <f t="shared" si="2"/>
        <v>10</v>
      </c>
      <c r="H15" s="65">
        <f t="shared" si="3"/>
        <v>45014</v>
      </c>
      <c r="I15" s="68">
        <v>6259.8399999999956</v>
      </c>
      <c r="J15" s="67">
        <f t="shared" si="7"/>
        <v>0.3031532534906034</v>
      </c>
      <c r="L15" s="8">
        <f t="shared" si="4"/>
        <v>10</v>
      </c>
      <c r="M15" s="65">
        <f t="shared" si="5"/>
        <v>45014</v>
      </c>
      <c r="N15" s="68">
        <v>39.23967889908252</v>
      </c>
      <c r="O15" s="67">
        <f t="shared" si="8"/>
        <v>0.34957492658474676</v>
      </c>
      <c r="R15" s="78"/>
    </row>
    <row r="16" spans="2:18" x14ac:dyDescent="0.3">
      <c r="B16" s="69">
        <f t="shared" si="0"/>
        <v>11</v>
      </c>
      <c r="C16" s="70">
        <f t="shared" si="1"/>
        <v>45379</v>
      </c>
      <c r="D16" s="71">
        <f>FORECAST(B16,$D$6:$D$15,$B$6:$B$15)</f>
        <v>31804.302666666666</v>
      </c>
      <c r="E16" s="72">
        <f t="shared" si="6"/>
        <v>-7.7831170637400082E-2</v>
      </c>
      <c r="G16" s="69">
        <f t="shared" si="2"/>
        <v>11</v>
      </c>
      <c r="H16" s="70">
        <f t="shared" si="3"/>
        <v>45379</v>
      </c>
      <c r="I16" s="71">
        <f>FORECAST(G16,$I$6:$I$15,$G$6:$G$15)</f>
        <v>6065.4693333333316</v>
      </c>
      <c r="J16" s="72">
        <f t="shared" si="7"/>
        <v>-3.1050420884026431E-2</v>
      </c>
      <c r="L16" s="69">
        <f t="shared" si="4"/>
        <v>11</v>
      </c>
      <c r="M16" s="70">
        <f t="shared" si="5"/>
        <v>45379</v>
      </c>
      <c r="N16" s="71">
        <f>FORECAST(L16,$N$6:$N$15,$L$6:$L$15)</f>
        <v>37.095836808451466</v>
      </c>
      <c r="O16" s="72">
        <f t="shared" si="8"/>
        <v>-5.4634547243483711E-2</v>
      </c>
      <c r="R16" s="78"/>
    </row>
    <row r="17" spans="2:33" x14ac:dyDescent="0.3">
      <c r="B17" s="69">
        <f t="shared" si="0"/>
        <v>12</v>
      </c>
      <c r="C17" s="70">
        <f t="shared" si="1"/>
        <v>45744</v>
      </c>
      <c r="D17" s="71">
        <f>FORECAST(B17,$D$6:$D$15,$B$6:$B$15)</f>
        <v>34009.672242424247</v>
      </c>
      <c r="E17" s="72">
        <f t="shared" si="6"/>
        <v>6.9341862290506207E-2</v>
      </c>
      <c r="G17" s="69">
        <f t="shared" si="2"/>
        <v>12</v>
      </c>
      <c r="H17" s="70">
        <f t="shared" si="3"/>
        <v>45744</v>
      </c>
      <c r="I17" s="71">
        <f t="shared" ref="I17:I20" si="9">FORECAST(G17,$I$6:$I$15,$G$6:$G$15)</f>
        <v>6495.3697575757551</v>
      </c>
      <c r="J17" s="72">
        <f t="shared" si="7"/>
        <v>7.0876695704298998E-2</v>
      </c>
      <c r="L17" s="69">
        <f t="shared" si="4"/>
        <v>12</v>
      </c>
      <c r="M17" s="70">
        <f t="shared" si="5"/>
        <v>45744</v>
      </c>
      <c r="N17" s="71">
        <f t="shared" ref="N17:N20" si="10">FORECAST(L17,$N$6:$N$15,$L$6:$L$15)</f>
        <v>39.821952637298736</v>
      </c>
      <c r="O17" s="72">
        <f t="shared" si="8"/>
        <v>7.3488457557215225E-2</v>
      </c>
      <c r="R17" s="78"/>
    </row>
    <row r="18" spans="2:33" x14ac:dyDescent="0.3">
      <c r="B18" s="69">
        <f t="shared" si="0"/>
        <v>13</v>
      </c>
      <c r="C18" s="70">
        <f t="shared" si="1"/>
        <v>46109</v>
      </c>
      <c r="D18" s="71">
        <f>FORECAST(B18,$D$6:$D$15,$B$6:$B$15)</f>
        <v>36215.041818181817</v>
      </c>
      <c r="E18" s="72">
        <f t="shared" si="6"/>
        <v>6.4845363990498894E-2</v>
      </c>
      <c r="G18" s="69">
        <f t="shared" si="2"/>
        <v>13</v>
      </c>
      <c r="H18" s="70">
        <f t="shared" si="3"/>
        <v>46109</v>
      </c>
      <c r="I18" s="71">
        <f t="shared" si="9"/>
        <v>6925.2701818181786</v>
      </c>
      <c r="J18" s="72">
        <f t="shared" si="7"/>
        <v>6.6185673839586512E-2</v>
      </c>
      <c r="L18" s="69">
        <f t="shared" si="4"/>
        <v>13</v>
      </c>
      <c r="M18" s="70">
        <f t="shared" si="5"/>
        <v>46109</v>
      </c>
      <c r="N18" s="71">
        <f t="shared" si="10"/>
        <v>42.548068466146006</v>
      </c>
      <c r="O18" s="72">
        <f t="shared" si="8"/>
        <v>6.845761315817267E-2</v>
      </c>
      <c r="R18" s="78"/>
    </row>
    <row r="19" spans="2:33" x14ac:dyDescent="0.3">
      <c r="B19" s="69">
        <f t="shared" si="0"/>
        <v>14</v>
      </c>
      <c r="C19" s="70">
        <f t="shared" si="1"/>
        <v>46474</v>
      </c>
      <c r="D19" s="71">
        <f>FORECAST(B19,$D$6:$D$15,$B$6:$B$15)</f>
        <v>38420.411393939394</v>
      </c>
      <c r="E19" s="72">
        <f t="shared" si="6"/>
        <v>6.0896507777891573E-2</v>
      </c>
      <c r="G19" s="69">
        <f t="shared" si="2"/>
        <v>14</v>
      </c>
      <c r="H19" s="70">
        <f t="shared" si="3"/>
        <v>46474</v>
      </c>
      <c r="I19" s="71">
        <f t="shared" si="9"/>
        <v>7355.1706060606029</v>
      </c>
      <c r="J19" s="72">
        <f t="shared" si="7"/>
        <v>6.2077061682170642E-2</v>
      </c>
      <c r="L19" s="69">
        <f t="shared" si="4"/>
        <v>14</v>
      </c>
      <c r="M19" s="70">
        <f t="shared" si="5"/>
        <v>46474</v>
      </c>
      <c r="N19" s="71">
        <f t="shared" si="10"/>
        <v>45.274184294993276</v>
      </c>
      <c r="O19" s="72">
        <f t="shared" si="8"/>
        <v>6.4071435605034477E-2</v>
      </c>
      <c r="R19" s="78"/>
    </row>
    <row r="20" spans="2:33" x14ac:dyDescent="0.3">
      <c r="B20" s="69">
        <f t="shared" si="0"/>
        <v>15</v>
      </c>
      <c r="C20" s="70">
        <f t="shared" si="1"/>
        <v>46839</v>
      </c>
      <c r="D20" s="71">
        <f>FORECAST(B20,$D$6:$D$15,$B$6:$B$15)</f>
        <v>40625.780969696963</v>
      </c>
      <c r="E20" s="72">
        <f t="shared" si="6"/>
        <v>5.7400988061919955E-2</v>
      </c>
      <c r="G20" s="69">
        <f t="shared" si="2"/>
        <v>15</v>
      </c>
      <c r="H20" s="70">
        <f t="shared" si="3"/>
        <v>46839</v>
      </c>
      <c r="I20" s="71">
        <f t="shared" si="9"/>
        <v>7785.0710303030273</v>
      </c>
      <c r="J20" s="72">
        <f t="shared" si="7"/>
        <v>5.8448735898551485E-2</v>
      </c>
      <c r="L20" s="69">
        <f t="shared" si="4"/>
        <v>15</v>
      </c>
      <c r="M20" s="70">
        <f t="shared" si="5"/>
        <v>46839</v>
      </c>
      <c r="N20" s="71">
        <f t="shared" si="10"/>
        <v>48.000300123840539</v>
      </c>
      <c r="O20" s="72">
        <f t="shared" si="8"/>
        <v>6.0213472010554492E-2</v>
      </c>
      <c r="R20" s="78"/>
    </row>
    <row r="21" spans="2:33" x14ac:dyDescent="0.3">
      <c r="Z21" s="8"/>
      <c r="AA21" s="66"/>
      <c r="AG21" s="66"/>
    </row>
    <row r="22" spans="2:33" x14ac:dyDescent="0.3">
      <c r="Z22" s="8"/>
      <c r="AA22" s="66"/>
    </row>
    <row r="23" spans="2:33" x14ac:dyDescent="0.3">
      <c r="Z23" s="8"/>
      <c r="AA23" s="66"/>
    </row>
    <row r="24" spans="2:33" x14ac:dyDescent="0.3">
      <c r="Z24" s="8"/>
      <c r="AA24" s="66"/>
    </row>
  </sheetData>
  <mergeCells count="3">
    <mergeCell ref="B4:E4"/>
    <mergeCell ref="G4:J4"/>
    <mergeCell ref="L4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E5CA-8B11-42C8-8264-A48CDD9AD217}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5F19-CD94-4018-A96C-1CCA655F381E}">
  <sheetPr>
    <tabColor theme="1"/>
  </sheetPr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showGridLines="0" zoomScaleNormal="10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C5" sqref="C5"/>
    </sheetView>
  </sheetViews>
  <sheetFormatPr defaultColWidth="8.77734375" defaultRowHeight="14.4" x14ac:dyDescent="0.3"/>
  <cols>
    <col min="1" max="1" width="27.6640625" style="3" bestFit="1" customWidth="1"/>
    <col min="2" max="11" width="13.44140625" style="3" bestFit="1" customWidth="1"/>
    <col min="12" max="16384" width="8.77734375" style="3"/>
  </cols>
  <sheetData>
    <row r="1" spans="1:11" s="1" customFormat="1" x14ac:dyDescent="0.3">
      <c r="A1" s="1" t="s">
        <v>54</v>
      </c>
      <c r="B1" s="1" t="s">
        <v>32</v>
      </c>
      <c r="E1" s="76" t="str">
        <f>IF(B2&lt;&gt;B3, "A NEW VERSION OF THE WORKSHEET IS AVAILABLE", "")</f>
        <v/>
      </c>
      <c r="F1" s="76"/>
      <c r="G1" s="76"/>
      <c r="H1" s="76"/>
      <c r="I1" s="76"/>
      <c r="J1" s="76"/>
      <c r="K1" s="76"/>
    </row>
    <row r="2" spans="1:11" x14ac:dyDescent="0.3">
      <c r="A2" s="1" t="s">
        <v>30</v>
      </c>
      <c r="B2" s="3">
        <v>2.1</v>
      </c>
      <c r="E2" s="77" t="s">
        <v>21</v>
      </c>
      <c r="F2" s="77"/>
      <c r="G2" s="77"/>
      <c r="H2" s="77"/>
      <c r="I2" s="77"/>
      <c r="J2" s="77"/>
      <c r="K2" s="77"/>
    </row>
    <row r="3" spans="1:11" x14ac:dyDescent="0.3">
      <c r="A3" s="1" t="s">
        <v>31</v>
      </c>
      <c r="B3" s="3">
        <v>2.1</v>
      </c>
    </row>
    <row r="4" spans="1:11" x14ac:dyDescent="0.3">
      <c r="A4" s="1"/>
    </row>
    <row r="5" spans="1:11" x14ac:dyDescent="0.3">
      <c r="A5" s="1" t="s">
        <v>33</v>
      </c>
    </row>
    <row r="6" spans="1:11" x14ac:dyDescent="0.3">
      <c r="A6" s="3" t="s">
        <v>27</v>
      </c>
      <c r="B6" s="3">
        <f>IF(B9&gt;0, B9/B8, 0)</f>
        <v>95.919779969866681</v>
      </c>
    </row>
    <row r="7" spans="1:11" x14ac:dyDescent="0.3">
      <c r="A7" s="3" t="s">
        <v>16</v>
      </c>
      <c r="B7">
        <v>1</v>
      </c>
    </row>
    <row r="8" spans="1:11" x14ac:dyDescent="0.3">
      <c r="A8" s="3" t="s">
        <v>28</v>
      </c>
      <c r="B8">
        <v>3517.7</v>
      </c>
    </row>
    <row r="9" spans="1:11" x14ac:dyDescent="0.3">
      <c r="A9" s="3" t="s">
        <v>43</v>
      </c>
      <c r="B9">
        <v>337417.01</v>
      </c>
    </row>
    <row r="15" spans="1:11" x14ac:dyDescent="0.3">
      <c r="A15" s="1" t="s">
        <v>22</v>
      </c>
    </row>
    <row r="16" spans="1:11" s="7" customFormat="1" x14ac:dyDescent="0.3">
      <c r="A16" s="6" t="s">
        <v>23</v>
      </c>
      <c r="B16" s="5">
        <v>41729</v>
      </c>
      <c r="C16" s="5">
        <v>42094</v>
      </c>
      <c r="D16" s="5">
        <v>42460</v>
      </c>
      <c r="E16" s="5">
        <v>42825</v>
      </c>
      <c r="F16" s="5">
        <v>43190</v>
      </c>
      <c r="G16" s="5">
        <v>43555</v>
      </c>
      <c r="H16" s="5">
        <v>43921</v>
      </c>
      <c r="I16" s="5">
        <v>44286</v>
      </c>
      <c r="J16" s="5">
        <v>44651</v>
      </c>
      <c r="K16" s="5">
        <v>45016</v>
      </c>
    </row>
    <row r="17" spans="1:11" s="4" customFormat="1" x14ac:dyDescent="0.3">
      <c r="A17" s="4" t="s">
        <v>0</v>
      </c>
      <c r="B17">
        <v>12220.37</v>
      </c>
      <c r="C17">
        <v>13615.26</v>
      </c>
      <c r="D17">
        <v>14271.49</v>
      </c>
      <c r="E17">
        <v>15061.99</v>
      </c>
      <c r="F17">
        <v>16824.55</v>
      </c>
      <c r="G17">
        <v>19240.13</v>
      </c>
      <c r="H17">
        <v>20211.25</v>
      </c>
      <c r="I17">
        <v>21712.79</v>
      </c>
      <c r="J17">
        <v>29101.279999999999</v>
      </c>
      <c r="K17">
        <v>34488.589999999997</v>
      </c>
    </row>
    <row r="18" spans="1:11" s="4" customFormat="1" x14ac:dyDescent="0.3">
      <c r="A18" s="3" t="s">
        <v>44</v>
      </c>
      <c r="B18">
        <v>6339.75</v>
      </c>
      <c r="C18">
        <v>6874.83</v>
      </c>
      <c r="D18">
        <v>6569.83</v>
      </c>
      <c r="E18">
        <v>7452.6</v>
      </c>
      <c r="F18">
        <v>8128.17</v>
      </c>
      <c r="G18">
        <v>9974.4</v>
      </c>
      <c r="H18">
        <v>9981.99</v>
      </c>
      <c r="I18">
        <v>10425.549999999999</v>
      </c>
      <c r="J18">
        <v>17123.25</v>
      </c>
      <c r="K18">
        <v>18985.53</v>
      </c>
    </row>
    <row r="19" spans="1:11" s="4" customFormat="1" x14ac:dyDescent="0.3">
      <c r="A19" s="3" t="s">
        <v>45</v>
      </c>
      <c r="B19">
        <v>90.28</v>
      </c>
      <c r="C19">
        <v>148.07</v>
      </c>
      <c r="D19">
        <v>-199.33</v>
      </c>
      <c r="E19">
        <v>528.6</v>
      </c>
      <c r="F19">
        <v>-142.13</v>
      </c>
      <c r="G19">
        <v>293.26</v>
      </c>
      <c r="H19">
        <v>239.15</v>
      </c>
      <c r="I19">
        <v>92.45</v>
      </c>
      <c r="J19">
        <v>1324.97</v>
      </c>
      <c r="K19">
        <v>309.73</v>
      </c>
    </row>
    <row r="20" spans="1:11" s="4" customFormat="1" x14ac:dyDescent="0.3">
      <c r="A20" s="3" t="s">
        <v>46</v>
      </c>
      <c r="B20">
        <v>133.74</v>
      </c>
      <c r="C20">
        <v>130.68</v>
      </c>
      <c r="D20">
        <v>114.48</v>
      </c>
      <c r="E20">
        <v>106.02</v>
      </c>
      <c r="F20">
        <v>110.3</v>
      </c>
      <c r="G20">
        <v>119.63</v>
      </c>
      <c r="H20">
        <v>97.79</v>
      </c>
      <c r="I20">
        <v>86.05</v>
      </c>
      <c r="J20">
        <v>117.23</v>
      </c>
      <c r="K20">
        <v>138.29</v>
      </c>
    </row>
    <row r="21" spans="1:11" s="4" customFormat="1" x14ac:dyDescent="0.3">
      <c r="A21" s="3" t="s">
        <v>47</v>
      </c>
      <c r="B21">
        <v>1292.18</v>
      </c>
      <c r="C21">
        <v>1504.47</v>
      </c>
      <c r="D21">
        <v>1535.22</v>
      </c>
      <c r="E21">
        <v>1662.75</v>
      </c>
      <c r="F21">
        <v>1691.68</v>
      </c>
      <c r="G21">
        <v>1862.35</v>
      </c>
      <c r="H21">
        <v>1946.12</v>
      </c>
      <c r="I21">
        <v>2068.31</v>
      </c>
      <c r="J21">
        <v>2880.45</v>
      </c>
      <c r="K21">
        <v>2916.2</v>
      </c>
    </row>
    <row r="22" spans="1:11" s="4" customFormat="1" x14ac:dyDescent="0.3">
      <c r="A22" s="3" t="s">
        <v>48</v>
      </c>
      <c r="B22">
        <v>763.59</v>
      </c>
      <c r="C22">
        <v>936.86</v>
      </c>
      <c r="D22">
        <v>994.98</v>
      </c>
      <c r="E22">
        <v>1039.8900000000001</v>
      </c>
      <c r="F22">
        <v>1121.8900000000001</v>
      </c>
      <c r="G22">
        <v>1242.69</v>
      </c>
      <c r="H22">
        <v>1371.27</v>
      </c>
      <c r="I22">
        <v>1547.61</v>
      </c>
      <c r="J22">
        <v>1794.61</v>
      </c>
      <c r="K22">
        <v>2036.41</v>
      </c>
    </row>
    <row r="23" spans="1:11" s="4" customFormat="1" x14ac:dyDescent="0.3">
      <c r="A23" s="3" t="s">
        <v>49</v>
      </c>
      <c r="B23">
        <v>2826.43</v>
      </c>
      <c r="C23">
        <v>3351.66</v>
      </c>
      <c r="D23">
        <v>3912.3</v>
      </c>
      <c r="E23">
        <v>4364.04</v>
      </c>
      <c r="F23">
        <v>2254.92</v>
      </c>
      <c r="G23">
        <v>2366.87</v>
      </c>
      <c r="H23">
        <v>2311.5100000000002</v>
      </c>
      <c r="I23">
        <v>2245.69</v>
      </c>
      <c r="J23">
        <v>2941.98</v>
      </c>
      <c r="K23">
        <v>3500.84</v>
      </c>
    </row>
    <row r="24" spans="1:11" s="4" customFormat="1" x14ac:dyDescent="0.3">
      <c r="A24" s="3" t="s">
        <v>50</v>
      </c>
      <c r="B24">
        <v>-1048.7</v>
      </c>
      <c r="C24">
        <v>-1278.06</v>
      </c>
      <c r="D24">
        <v>-1779.69</v>
      </c>
      <c r="E24">
        <v>-2028.47</v>
      </c>
      <c r="F24">
        <v>171.45</v>
      </c>
      <c r="G24">
        <v>202.51</v>
      </c>
      <c r="H24">
        <v>584.9</v>
      </c>
      <c r="I24">
        <v>576.42999999999995</v>
      </c>
      <c r="J24">
        <v>765.12</v>
      </c>
      <c r="K24">
        <v>961.21</v>
      </c>
    </row>
    <row r="25" spans="1:11" s="4" customFormat="1" x14ac:dyDescent="0.3">
      <c r="A25" s="4" t="s">
        <v>3</v>
      </c>
      <c r="B25">
        <v>124.26</v>
      </c>
      <c r="C25">
        <v>142.13999999999999</v>
      </c>
      <c r="D25">
        <v>213.39</v>
      </c>
      <c r="E25">
        <v>337.9</v>
      </c>
      <c r="F25">
        <v>336.41</v>
      </c>
      <c r="G25">
        <v>273.77</v>
      </c>
      <c r="H25">
        <v>355.05</v>
      </c>
      <c r="I25">
        <v>331.65</v>
      </c>
      <c r="J25">
        <v>295.88</v>
      </c>
      <c r="K25">
        <v>431.46</v>
      </c>
    </row>
    <row r="26" spans="1:11" s="4" customFormat="1" x14ac:dyDescent="0.3">
      <c r="A26" s="4" t="s">
        <v>4</v>
      </c>
      <c r="B26">
        <v>245.66</v>
      </c>
      <c r="C26">
        <v>265.92</v>
      </c>
      <c r="D26">
        <v>275.58</v>
      </c>
      <c r="E26">
        <v>334.79</v>
      </c>
      <c r="F26">
        <v>360.47</v>
      </c>
      <c r="G26">
        <v>622.14</v>
      </c>
      <c r="H26">
        <v>780.5</v>
      </c>
      <c r="I26">
        <v>791.27</v>
      </c>
      <c r="J26">
        <v>816.36</v>
      </c>
      <c r="K26">
        <v>858.02</v>
      </c>
    </row>
    <row r="27" spans="1:11" s="4" customFormat="1" x14ac:dyDescent="0.3">
      <c r="A27" s="4" t="s">
        <v>5</v>
      </c>
      <c r="B27">
        <v>47.99</v>
      </c>
      <c r="C27">
        <v>42.24</v>
      </c>
      <c r="D27">
        <v>49</v>
      </c>
      <c r="E27">
        <v>37.33</v>
      </c>
      <c r="F27">
        <v>41.47</v>
      </c>
      <c r="G27">
        <v>110.47</v>
      </c>
      <c r="H27">
        <v>102.33</v>
      </c>
      <c r="I27">
        <v>91.63</v>
      </c>
      <c r="J27">
        <v>95.41</v>
      </c>
      <c r="K27">
        <v>144.44999999999999</v>
      </c>
    </row>
    <row r="28" spans="1:11" s="4" customFormat="1" x14ac:dyDescent="0.3">
      <c r="A28" s="4" t="s">
        <v>6</v>
      </c>
      <c r="B28">
        <v>1834.27</v>
      </c>
      <c r="C28">
        <v>2076.87</v>
      </c>
      <c r="D28">
        <v>2613.85</v>
      </c>
      <c r="E28">
        <v>2959.54</v>
      </c>
      <c r="F28">
        <v>3138.48</v>
      </c>
      <c r="G28">
        <v>3306.1</v>
      </c>
      <c r="H28">
        <v>3629.04</v>
      </c>
      <c r="I28">
        <v>4304.3500000000004</v>
      </c>
      <c r="J28">
        <v>4187.72</v>
      </c>
      <c r="K28">
        <v>5688.83</v>
      </c>
    </row>
    <row r="29" spans="1:11" s="4" customFormat="1" x14ac:dyDescent="0.3">
      <c r="A29" s="4" t="s">
        <v>7</v>
      </c>
      <c r="B29">
        <v>571.51</v>
      </c>
      <c r="C29">
        <v>649.54</v>
      </c>
      <c r="D29">
        <v>844.49</v>
      </c>
      <c r="E29">
        <v>943.29</v>
      </c>
      <c r="F29">
        <v>1040.96</v>
      </c>
      <c r="G29">
        <v>1098.06</v>
      </c>
      <c r="H29">
        <v>854.85</v>
      </c>
      <c r="I29">
        <v>1097.5999999999999</v>
      </c>
      <c r="J29">
        <v>1102.9100000000001</v>
      </c>
      <c r="K29">
        <v>1493.5</v>
      </c>
    </row>
    <row r="30" spans="1:11" s="4" customFormat="1" x14ac:dyDescent="0.3">
      <c r="A30" s="4" t="s">
        <v>8</v>
      </c>
      <c r="B30">
        <v>1218.81</v>
      </c>
      <c r="C30">
        <v>1395.15</v>
      </c>
      <c r="D30">
        <v>1745.16</v>
      </c>
      <c r="E30">
        <v>1939.43</v>
      </c>
      <c r="F30">
        <v>2038.93</v>
      </c>
      <c r="G30">
        <v>2155.92</v>
      </c>
      <c r="H30">
        <v>2705.17</v>
      </c>
      <c r="I30">
        <v>3139.29</v>
      </c>
      <c r="J30">
        <v>3030.57</v>
      </c>
      <c r="K30">
        <v>4106.45</v>
      </c>
    </row>
    <row r="31" spans="1:11" s="4" customFormat="1" x14ac:dyDescent="0.3">
      <c r="A31" s="4" t="s">
        <v>34</v>
      </c>
      <c r="B31">
        <v>508.38</v>
      </c>
      <c r="C31">
        <v>585.11</v>
      </c>
      <c r="D31">
        <v>719.4</v>
      </c>
      <c r="E31">
        <v>987.98</v>
      </c>
      <c r="F31">
        <v>834.5</v>
      </c>
      <c r="G31">
        <v>1007.16</v>
      </c>
      <c r="H31">
        <v>1151.04</v>
      </c>
      <c r="I31">
        <v>1712.17</v>
      </c>
      <c r="J31">
        <v>1836.87</v>
      </c>
      <c r="K31">
        <v>2460.35</v>
      </c>
    </row>
    <row r="32" spans="1:11" s="4" customFormat="1" x14ac:dyDescent="0.3"/>
    <row r="33" spans="1:11" x14ac:dyDescent="0.3">
      <c r="A33" s="4"/>
    </row>
    <row r="34" spans="1:11" x14ac:dyDescent="0.3">
      <c r="A34" s="4"/>
    </row>
    <row r="35" spans="1:11" x14ac:dyDescent="0.3">
      <c r="A35" s="4"/>
    </row>
    <row r="36" spans="1:11" x14ac:dyDescent="0.3">
      <c r="A36" s="4"/>
    </row>
    <row r="37" spans="1:11" x14ac:dyDescent="0.3">
      <c r="A37" s="4"/>
    </row>
    <row r="38" spans="1:11" x14ac:dyDescent="0.3">
      <c r="A38" s="4"/>
    </row>
    <row r="39" spans="1:11" x14ac:dyDescent="0.3">
      <c r="A39" s="4"/>
    </row>
    <row r="40" spans="1:11" x14ac:dyDescent="0.3">
      <c r="A40" s="1" t="s">
        <v>24</v>
      </c>
    </row>
    <row r="41" spans="1:11" s="7" customFormat="1" x14ac:dyDescent="0.3">
      <c r="A41" s="6" t="s">
        <v>23</v>
      </c>
      <c r="B41" s="5">
        <v>44196</v>
      </c>
      <c r="C41" s="5">
        <v>44286</v>
      </c>
      <c r="D41" s="5">
        <v>44377</v>
      </c>
      <c r="E41" s="5">
        <v>44469</v>
      </c>
      <c r="F41" s="5">
        <v>44561</v>
      </c>
      <c r="G41" s="5">
        <v>44651</v>
      </c>
      <c r="H41" s="5">
        <v>44742</v>
      </c>
      <c r="I41" s="5">
        <v>44834</v>
      </c>
      <c r="J41" s="5">
        <v>44926</v>
      </c>
      <c r="K41" s="5">
        <v>45016</v>
      </c>
    </row>
    <row r="42" spans="1:11" s="4" customFormat="1" x14ac:dyDescent="0.3">
      <c r="A42" s="4" t="s">
        <v>0</v>
      </c>
      <c r="B42">
        <v>6788.47</v>
      </c>
      <c r="C42">
        <v>6651.43</v>
      </c>
      <c r="D42">
        <v>5585.36</v>
      </c>
      <c r="E42">
        <v>7096.01</v>
      </c>
      <c r="F42">
        <v>8527.24</v>
      </c>
      <c r="G42">
        <v>7892.67</v>
      </c>
      <c r="H42">
        <v>8606.94</v>
      </c>
      <c r="I42">
        <v>8457.57</v>
      </c>
      <c r="J42">
        <v>8636.74</v>
      </c>
      <c r="K42">
        <v>8787.34</v>
      </c>
    </row>
    <row r="43" spans="1:11" s="4" customFormat="1" x14ac:dyDescent="0.3">
      <c r="A43" s="4" t="s">
        <v>1</v>
      </c>
      <c r="B43">
        <v>5000.58</v>
      </c>
      <c r="C43">
        <v>5333.17</v>
      </c>
      <c r="D43">
        <v>4674.32</v>
      </c>
      <c r="E43">
        <v>6191.56</v>
      </c>
      <c r="F43">
        <v>6984.93</v>
      </c>
      <c r="G43">
        <v>6449.38</v>
      </c>
      <c r="H43">
        <v>7050.99</v>
      </c>
      <c r="I43">
        <v>7229.87</v>
      </c>
      <c r="J43">
        <v>7025.31</v>
      </c>
      <c r="K43">
        <v>6922.58</v>
      </c>
    </row>
    <row r="44" spans="1:11" s="4" customFormat="1" x14ac:dyDescent="0.3">
      <c r="A44" s="4" t="s">
        <v>3</v>
      </c>
      <c r="B44">
        <v>123.17</v>
      </c>
      <c r="C44">
        <v>81.260000000000005</v>
      </c>
      <c r="D44">
        <v>89.61</v>
      </c>
      <c r="E44">
        <v>148.4</v>
      </c>
      <c r="F44">
        <v>86.77</v>
      </c>
      <c r="G44">
        <v>-26.38</v>
      </c>
      <c r="H44">
        <v>87.52</v>
      </c>
      <c r="I44">
        <v>117.56</v>
      </c>
      <c r="J44">
        <v>122.21</v>
      </c>
      <c r="K44">
        <v>104.17</v>
      </c>
    </row>
    <row r="45" spans="1:11" s="4" customFormat="1" x14ac:dyDescent="0.3">
      <c r="A45" s="4" t="s">
        <v>4</v>
      </c>
      <c r="B45">
        <v>193.17</v>
      </c>
      <c r="C45">
        <v>213.35</v>
      </c>
      <c r="D45">
        <v>200.59</v>
      </c>
      <c r="E45">
        <v>202.75</v>
      </c>
      <c r="F45">
        <v>207.91</v>
      </c>
      <c r="G45">
        <v>205.11</v>
      </c>
      <c r="H45">
        <v>208.1</v>
      </c>
      <c r="I45">
        <v>215.7</v>
      </c>
      <c r="J45">
        <v>214.05</v>
      </c>
      <c r="K45">
        <v>220.17</v>
      </c>
    </row>
    <row r="46" spans="1:11" s="4" customFormat="1" x14ac:dyDescent="0.3">
      <c r="A46" s="4" t="s">
        <v>5</v>
      </c>
      <c r="B46">
        <v>21.13</v>
      </c>
      <c r="C46">
        <v>29.86</v>
      </c>
      <c r="D46">
        <v>21.48</v>
      </c>
      <c r="E46">
        <v>23.86</v>
      </c>
      <c r="F46">
        <v>27.45</v>
      </c>
      <c r="G46">
        <v>22.62</v>
      </c>
      <c r="H46">
        <v>28.75</v>
      </c>
      <c r="I46">
        <v>35.4</v>
      </c>
      <c r="J46">
        <v>41.39</v>
      </c>
      <c r="K46">
        <v>38.909999999999997</v>
      </c>
    </row>
    <row r="47" spans="1:11" s="4" customFormat="1" x14ac:dyDescent="0.3">
      <c r="A47" s="4" t="s">
        <v>6</v>
      </c>
      <c r="B47">
        <v>1696.76</v>
      </c>
      <c r="C47">
        <v>1156.31</v>
      </c>
      <c r="D47">
        <v>778.58</v>
      </c>
      <c r="E47">
        <v>826.24</v>
      </c>
      <c r="F47">
        <v>1393.72</v>
      </c>
      <c r="G47">
        <v>1189.18</v>
      </c>
      <c r="H47">
        <v>1406.62</v>
      </c>
      <c r="I47">
        <v>1094.1600000000001</v>
      </c>
      <c r="J47">
        <v>1478.2</v>
      </c>
      <c r="K47">
        <v>1709.85</v>
      </c>
    </row>
    <row r="48" spans="1:11" s="4" customFormat="1" x14ac:dyDescent="0.3">
      <c r="A48" s="4" t="s">
        <v>7</v>
      </c>
      <c r="B48">
        <v>431.41</v>
      </c>
      <c r="C48">
        <v>286.42</v>
      </c>
      <c r="D48">
        <v>204.28</v>
      </c>
      <c r="E48">
        <v>221.07</v>
      </c>
      <c r="F48">
        <v>362.43</v>
      </c>
      <c r="G48">
        <v>315.13</v>
      </c>
      <c r="H48">
        <v>370.59</v>
      </c>
      <c r="I48">
        <v>290.33</v>
      </c>
      <c r="J48">
        <v>381.14</v>
      </c>
      <c r="K48">
        <v>451.44</v>
      </c>
    </row>
    <row r="49" spans="1:11" s="4" customFormat="1" x14ac:dyDescent="0.3">
      <c r="A49" s="4" t="s">
        <v>8</v>
      </c>
      <c r="B49">
        <v>1238.3399999999999</v>
      </c>
      <c r="C49">
        <v>852.13</v>
      </c>
      <c r="D49">
        <v>568.5</v>
      </c>
      <c r="E49">
        <v>595.96</v>
      </c>
      <c r="F49">
        <v>1015.69</v>
      </c>
      <c r="G49">
        <v>850.42</v>
      </c>
      <c r="H49">
        <v>1016.93</v>
      </c>
      <c r="I49">
        <v>782.71</v>
      </c>
      <c r="J49">
        <v>1072.67</v>
      </c>
      <c r="K49">
        <v>1234.1400000000001</v>
      </c>
    </row>
    <row r="50" spans="1:11" x14ac:dyDescent="0.3">
      <c r="A50" s="4" t="s">
        <v>2</v>
      </c>
      <c r="B50">
        <v>1787.89</v>
      </c>
      <c r="C50">
        <v>1318.26</v>
      </c>
      <c r="D50">
        <v>911.04</v>
      </c>
      <c r="E50">
        <v>904.45</v>
      </c>
      <c r="F50">
        <v>1542.31</v>
      </c>
      <c r="G50">
        <v>1443.29</v>
      </c>
      <c r="H50">
        <v>1555.95</v>
      </c>
      <c r="I50">
        <v>1227.7</v>
      </c>
      <c r="J50">
        <v>1611.43</v>
      </c>
      <c r="K50">
        <v>1864.76</v>
      </c>
    </row>
    <row r="51" spans="1:11" x14ac:dyDescent="0.3">
      <c r="A51" s="4"/>
    </row>
    <row r="52" spans="1:11" x14ac:dyDescent="0.3">
      <c r="A52" s="4"/>
    </row>
    <row r="53" spans="1:11" x14ac:dyDescent="0.3">
      <c r="A53" s="4"/>
    </row>
    <row r="54" spans="1:11" x14ac:dyDescent="0.3">
      <c r="A54" s="4"/>
    </row>
    <row r="55" spans="1:11" x14ac:dyDescent="0.3">
      <c r="A55" s="1" t="s">
        <v>25</v>
      </c>
    </row>
    <row r="56" spans="1:11" s="7" customFormat="1" x14ac:dyDescent="0.3">
      <c r="A56" s="6" t="s">
        <v>23</v>
      </c>
      <c r="B56" s="5">
        <v>41729</v>
      </c>
      <c r="C56" s="5">
        <v>42094</v>
      </c>
      <c r="D56" s="5">
        <v>42460</v>
      </c>
      <c r="E56" s="5">
        <v>42825</v>
      </c>
      <c r="F56" s="5">
        <v>43190</v>
      </c>
      <c r="G56" s="5">
        <v>43555</v>
      </c>
      <c r="H56" s="5">
        <v>43921</v>
      </c>
      <c r="I56" s="5">
        <v>44286</v>
      </c>
      <c r="J56" s="5">
        <v>44651</v>
      </c>
      <c r="K56" s="5">
        <v>45016</v>
      </c>
    </row>
    <row r="57" spans="1:11" x14ac:dyDescent="0.3">
      <c r="A57" s="4" t="s">
        <v>10</v>
      </c>
      <c r="B57">
        <v>95.92</v>
      </c>
      <c r="C57">
        <v>95.92</v>
      </c>
      <c r="D57">
        <v>95.92</v>
      </c>
      <c r="E57">
        <v>95.92</v>
      </c>
      <c r="F57">
        <v>95.92</v>
      </c>
      <c r="G57">
        <v>95.92</v>
      </c>
      <c r="H57">
        <v>95.92</v>
      </c>
      <c r="I57">
        <v>95.92</v>
      </c>
      <c r="J57">
        <v>95.92</v>
      </c>
      <c r="K57">
        <v>95.92</v>
      </c>
    </row>
    <row r="58" spans="1:11" x14ac:dyDescent="0.3">
      <c r="A58" s="4" t="s">
        <v>11</v>
      </c>
      <c r="B58">
        <v>3943.3</v>
      </c>
      <c r="C58">
        <v>4646.4399999999996</v>
      </c>
      <c r="D58">
        <v>6428.9</v>
      </c>
      <c r="E58">
        <v>7507.97</v>
      </c>
      <c r="F58">
        <v>8314.31</v>
      </c>
      <c r="G58">
        <v>9374.6299999999992</v>
      </c>
      <c r="H58">
        <v>10034.24</v>
      </c>
      <c r="I58">
        <v>12710.37</v>
      </c>
      <c r="J58">
        <v>13715.64</v>
      </c>
      <c r="K58">
        <v>15896.31</v>
      </c>
    </row>
    <row r="59" spans="1:11" x14ac:dyDescent="0.3">
      <c r="A59" s="4" t="s">
        <v>35</v>
      </c>
      <c r="B59">
        <v>249.15</v>
      </c>
      <c r="C59">
        <v>418.17</v>
      </c>
      <c r="D59">
        <v>323.29000000000002</v>
      </c>
      <c r="E59">
        <v>560.34</v>
      </c>
      <c r="F59">
        <v>533.42999999999995</v>
      </c>
      <c r="G59">
        <v>1319.6</v>
      </c>
      <c r="H59">
        <v>1118.5</v>
      </c>
      <c r="I59">
        <v>1093.1199999999999</v>
      </c>
      <c r="J59">
        <v>1586.88</v>
      </c>
      <c r="K59">
        <v>1932.62</v>
      </c>
    </row>
    <row r="60" spans="1:11" x14ac:dyDescent="0.3">
      <c r="A60" s="4" t="s">
        <v>36</v>
      </c>
      <c r="B60">
        <v>3787.03</v>
      </c>
      <c r="C60">
        <v>3753.97</v>
      </c>
      <c r="D60">
        <v>3710.92</v>
      </c>
      <c r="E60">
        <v>4240.96</v>
      </c>
      <c r="F60">
        <v>4819.82</v>
      </c>
      <c r="G60">
        <v>5458.69</v>
      </c>
      <c r="H60">
        <v>4889.3100000000004</v>
      </c>
      <c r="I60">
        <v>6455.93</v>
      </c>
      <c r="J60">
        <v>7559.99</v>
      </c>
      <c r="K60">
        <v>7854.48</v>
      </c>
    </row>
    <row r="61" spans="1:11" s="1" customFormat="1" x14ac:dyDescent="0.3">
      <c r="A61" s="1" t="s">
        <v>12</v>
      </c>
      <c r="B61">
        <v>8075.4</v>
      </c>
      <c r="C61">
        <v>8914.5</v>
      </c>
      <c r="D61">
        <v>10559.03</v>
      </c>
      <c r="E61">
        <v>12405.19</v>
      </c>
      <c r="F61">
        <v>13763.48</v>
      </c>
      <c r="G61">
        <v>16248.84</v>
      </c>
      <c r="H61">
        <v>16137.97</v>
      </c>
      <c r="I61">
        <v>20355.34</v>
      </c>
      <c r="J61">
        <v>22958.43</v>
      </c>
      <c r="K61">
        <v>25779.33</v>
      </c>
    </row>
    <row r="62" spans="1:11" x14ac:dyDescent="0.3">
      <c r="A62" s="4" t="s">
        <v>13</v>
      </c>
      <c r="B62">
        <v>2561.58</v>
      </c>
      <c r="C62">
        <v>2660.04</v>
      </c>
      <c r="D62">
        <v>3416.35</v>
      </c>
      <c r="E62">
        <v>3303.74</v>
      </c>
      <c r="F62">
        <v>3732.24</v>
      </c>
      <c r="G62">
        <v>6496.56</v>
      </c>
      <c r="H62">
        <v>6272.31</v>
      </c>
      <c r="I62">
        <v>5858.52</v>
      </c>
      <c r="J62">
        <v>5519.06</v>
      </c>
      <c r="K62">
        <v>5770.46</v>
      </c>
    </row>
    <row r="63" spans="1:11" x14ac:dyDescent="0.3">
      <c r="A63" s="4" t="s">
        <v>14</v>
      </c>
      <c r="B63">
        <v>71.599999999999994</v>
      </c>
      <c r="C63">
        <v>196</v>
      </c>
      <c r="D63">
        <v>106.59</v>
      </c>
      <c r="E63">
        <v>257.54000000000002</v>
      </c>
      <c r="F63">
        <v>1405.11</v>
      </c>
      <c r="G63">
        <v>209.67</v>
      </c>
      <c r="H63">
        <v>140.24</v>
      </c>
      <c r="I63">
        <v>182.98</v>
      </c>
      <c r="J63">
        <v>426.43</v>
      </c>
      <c r="K63">
        <v>1019.59</v>
      </c>
    </row>
    <row r="64" spans="1:11" x14ac:dyDescent="0.3">
      <c r="A64" s="4" t="s">
        <v>15</v>
      </c>
      <c r="B64">
        <v>1423.55</v>
      </c>
      <c r="C64">
        <v>1587.79</v>
      </c>
      <c r="D64">
        <v>2712.13</v>
      </c>
      <c r="E64">
        <v>2651.99</v>
      </c>
      <c r="F64">
        <v>2140.6999999999998</v>
      </c>
      <c r="G64">
        <v>2568.58</v>
      </c>
      <c r="H64">
        <v>2018.85</v>
      </c>
      <c r="I64">
        <v>4736.8</v>
      </c>
      <c r="J64">
        <v>3247.53</v>
      </c>
      <c r="K64">
        <v>4261.71</v>
      </c>
    </row>
    <row r="65" spans="1:11" x14ac:dyDescent="0.3">
      <c r="A65" s="4" t="s">
        <v>37</v>
      </c>
      <c r="B65">
        <v>4018.67</v>
      </c>
      <c r="C65">
        <v>4470.67</v>
      </c>
      <c r="D65">
        <v>4323.96</v>
      </c>
      <c r="E65">
        <v>6191.92</v>
      </c>
      <c r="F65">
        <v>6485.43</v>
      </c>
      <c r="G65">
        <v>6974.03</v>
      </c>
      <c r="H65">
        <v>7706.57</v>
      </c>
      <c r="I65">
        <v>9577.0400000000009</v>
      </c>
      <c r="J65">
        <v>13765.41</v>
      </c>
      <c r="K65">
        <v>14727.57</v>
      </c>
    </row>
    <row r="66" spans="1:11" s="1" customFormat="1" x14ac:dyDescent="0.3">
      <c r="A66" s="1" t="s">
        <v>12</v>
      </c>
      <c r="B66">
        <v>8075.4</v>
      </c>
      <c r="C66">
        <v>8914.5</v>
      </c>
      <c r="D66">
        <v>10559.03</v>
      </c>
      <c r="E66">
        <v>12405.19</v>
      </c>
      <c r="F66">
        <v>13763.48</v>
      </c>
      <c r="G66">
        <v>16248.84</v>
      </c>
      <c r="H66">
        <v>16137.97</v>
      </c>
      <c r="I66">
        <v>20355.34</v>
      </c>
      <c r="J66">
        <v>22958.43</v>
      </c>
      <c r="K66">
        <v>25779.33</v>
      </c>
    </row>
    <row r="67" spans="1:11" s="4" customFormat="1" x14ac:dyDescent="0.3">
      <c r="A67" s="4" t="s">
        <v>42</v>
      </c>
      <c r="B67">
        <v>1110.3</v>
      </c>
      <c r="C67">
        <v>1182.07</v>
      </c>
      <c r="D67">
        <v>1186.8399999999999</v>
      </c>
      <c r="E67">
        <v>1446.6</v>
      </c>
      <c r="F67">
        <v>1730.63</v>
      </c>
      <c r="G67">
        <v>1907.33</v>
      </c>
      <c r="H67">
        <v>1795.22</v>
      </c>
      <c r="I67">
        <v>2602.17</v>
      </c>
      <c r="J67">
        <v>3871.44</v>
      </c>
      <c r="K67">
        <v>4636.9399999999996</v>
      </c>
    </row>
    <row r="68" spans="1:11" x14ac:dyDescent="0.3">
      <c r="A68" s="4" t="s">
        <v>29</v>
      </c>
      <c r="B68">
        <v>2069.86</v>
      </c>
      <c r="C68">
        <v>2258.52</v>
      </c>
      <c r="D68">
        <v>1998.24</v>
      </c>
      <c r="E68">
        <v>2626.94</v>
      </c>
      <c r="F68">
        <v>2658.31</v>
      </c>
      <c r="G68">
        <v>3149.86</v>
      </c>
      <c r="H68">
        <v>3389.81</v>
      </c>
      <c r="I68">
        <v>3798.6</v>
      </c>
      <c r="J68">
        <v>6152.98</v>
      </c>
      <c r="K68">
        <v>6210.64</v>
      </c>
    </row>
    <row r="69" spans="1:11" x14ac:dyDescent="0.3">
      <c r="A69" s="3" t="s">
        <v>51</v>
      </c>
      <c r="B69">
        <v>229</v>
      </c>
      <c r="C69">
        <v>204.39</v>
      </c>
      <c r="D69">
        <v>424.2</v>
      </c>
      <c r="E69">
        <v>801.21</v>
      </c>
      <c r="F69">
        <v>404.65</v>
      </c>
      <c r="G69">
        <v>444.88</v>
      </c>
      <c r="H69">
        <v>782.83</v>
      </c>
      <c r="I69">
        <v>610.75</v>
      </c>
      <c r="J69">
        <v>864.33</v>
      </c>
      <c r="K69">
        <v>843.82</v>
      </c>
    </row>
    <row r="70" spans="1:11" x14ac:dyDescent="0.3">
      <c r="A70" s="3" t="s">
        <v>38</v>
      </c>
      <c r="B70">
        <v>959197800</v>
      </c>
      <c r="C70">
        <v>959197790</v>
      </c>
      <c r="D70">
        <v>959197790</v>
      </c>
      <c r="E70">
        <v>959197790</v>
      </c>
      <c r="F70">
        <v>959197790</v>
      </c>
      <c r="G70">
        <v>959197790</v>
      </c>
      <c r="H70">
        <v>959197790</v>
      </c>
      <c r="I70">
        <v>959197790</v>
      </c>
      <c r="J70">
        <v>959197790</v>
      </c>
      <c r="K70">
        <v>959197790</v>
      </c>
    </row>
    <row r="71" spans="1:11" x14ac:dyDescent="0.3">
      <c r="A71" s="3" t="s">
        <v>39</v>
      </c>
    </row>
    <row r="72" spans="1:11" x14ac:dyDescent="0.3">
      <c r="A72" s="3" t="s">
        <v>52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">
      <c r="A74" s="4"/>
    </row>
    <row r="75" spans="1:11" x14ac:dyDescent="0.3">
      <c r="A75" s="4"/>
    </row>
    <row r="76" spans="1:11" x14ac:dyDescent="0.3">
      <c r="A76" s="4"/>
    </row>
    <row r="77" spans="1:11" x14ac:dyDescent="0.3">
      <c r="A77" s="4"/>
    </row>
    <row r="78" spans="1:11" x14ac:dyDescent="0.3">
      <c r="A78" s="4"/>
    </row>
    <row r="79" spans="1:11" x14ac:dyDescent="0.3">
      <c r="A79" s="4"/>
    </row>
    <row r="80" spans="1:11" x14ac:dyDescent="0.3">
      <c r="A80" s="1" t="s">
        <v>26</v>
      </c>
    </row>
    <row r="81" spans="1:11" s="7" customFormat="1" x14ac:dyDescent="0.3">
      <c r="A81" s="6" t="s">
        <v>23</v>
      </c>
      <c r="B81" s="5">
        <v>41729</v>
      </c>
      <c r="C81" s="5">
        <v>42094</v>
      </c>
      <c r="D81" s="5">
        <v>42460</v>
      </c>
      <c r="E81" s="5">
        <v>42825</v>
      </c>
      <c r="F81" s="5">
        <v>43190</v>
      </c>
      <c r="G81" s="5">
        <v>43555</v>
      </c>
      <c r="H81" s="5">
        <v>43921</v>
      </c>
      <c r="I81" s="5">
        <v>44286</v>
      </c>
      <c r="J81" s="5">
        <v>44651</v>
      </c>
      <c r="K81" s="5">
        <v>45016</v>
      </c>
    </row>
    <row r="82" spans="1:11" s="1" customFormat="1" x14ac:dyDescent="0.3">
      <c r="A82" s="4" t="s">
        <v>17</v>
      </c>
      <c r="B82">
        <v>1402.03</v>
      </c>
      <c r="C82">
        <v>1187.69</v>
      </c>
      <c r="D82">
        <v>2242.9499999999998</v>
      </c>
      <c r="E82">
        <v>1527.33</v>
      </c>
      <c r="F82">
        <v>2113.44</v>
      </c>
      <c r="G82">
        <v>2469.54</v>
      </c>
      <c r="H82">
        <v>3038.15</v>
      </c>
      <c r="I82">
        <v>3683.35</v>
      </c>
      <c r="J82">
        <v>986.49</v>
      </c>
      <c r="K82">
        <v>4193.43</v>
      </c>
    </row>
    <row r="83" spans="1:11" s="4" customFormat="1" x14ac:dyDescent="0.3">
      <c r="A83" s="4" t="s">
        <v>18</v>
      </c>
      <c r="B83">
        <v>-585.99</v>
      </c>
      <c r="C83">
        <v>-464.99</v>
      </c>
      <c r="D83">
        <v>-866.21</v>
      </c>
      <c r="E83">
        <v>-681.11</v>
      </c>
      <c r="F83">
        <v>-1556.14</v>
      </c>
      <c r="G83">
        <v>-917.79</v>
      </c>
      <c r="H83">
        <v>-517.91</v>
      </c>
      <c r="I83">
        <v>-540.54</v>
      </c>
      <c r="J83">
        <v>-316.75</v>
      </c>
      <c r="K83">
        <v>-1282.3399999999999</v>
      </c>
    </row>
    <row r="84" spans="1:11" s="4" customFormat="1" x14ac:dyDescent="0.3">
      <c r="A84" s="4" t="s">
        <v>19</v>
      </c>
      <c r="B84">
        <v>-625.91</v>
      </c>
      <c r="C84">
        <v>-576.09</v>
      </c>
      <c r="D84">
        <v>-848.98</v>
      </c>
      <c r="E84">
        <v>-756.43</v>
      </c>
      <c r="F84">
        <v>-1379.14</v>
      </c>
      <c r="G84">
        <v>-1117.46</v>
      </c>
      <c r="H84">
        <v>-2871.46</v>
      </c>
      <c r="I84">
        <v>-650.4</v>
      </c>
      <c r="J84">
        <v>-1807.61</v>
      </c>
      <c r="K84">
        <v>-2140.0500000000002</v>
      </c>
    </row>
    <row r="85" spans="1:11" s="1" customFormat="1" x14ac:dyDescent="0.3">
      <c r="A85" s="4" t="s">
        <v>20</v>
      </c>
      <c r="B85">
        <v>190.13</v>
      </c>
      <c r="C85">
        <v>146.61000000000001</v>
      </c>
      <c r="D85">
        <v>527.76</v>
      </c>
      <c r="E85">
        <v>89.79</v>
      </c>
      <c r="F85">
        <v>-821.84</v>
      </c>
      <c r="G85">
        <v>434.29</v>
      </c>
      <c r="H85">
        <v>-351.22</v>
      </c>
      <c r="I85">
        <v>2492.41</v>
      </c>
      <c r="J85">
        <v>-1137.8699999999999</v>
      </c>
      <c r="K85">
        <v>771.04</v>
      </c>
    </row>
    <row r="86" spans="1:11" x14ac:dyDescent="0.3">
      <c r="A86" s="4"/>
    </row>
    <row r="87" spans="1:11" x14ac:dyDescent="0.3">
      <c r="A87" s="4"/>
    </row>
    <row r="88" spans="1:11" x14ac:dyDescent="0.3">
      <c r="A88" s="4"/>
    </row>
    <row r="89" spans="1:11" x14ac:dyDescent="0.3">
      <c r="A89" s="4"/>
    </row>
    <row r="90" spans="1:11" s="1" customFormat="1" x14ac:dyDescent="0.3">
      <c r="A90" s="1" t="s">
        <v>41</v>
      </c>
      <c r="B90">
        <v>547.95000000000005</v>
      </c>
      <c r="C90">
        <v>811.3</v>
      </c>
      <c r="D90">
        <v>868.4</v>
      </c>
      <c r="E90">
        <v>1073.5</v>
      </c>
      <c r="F90">
        <v>1120.4000000000001</v>
      </c>
      <c r="G90">
        <v>1492.7</v>
      </c>
      <c r="H90">
        <v>1666.5</v>
      </c>
      <c r="I90">
        <v>2537.4</v>
      </c>
      <c r="J90">
        <v>3079.95</v>
      </c>
      <c r="K90">
        <v>2761.65</v>
      </c>
    </row>
    <row r="92" spans="1:11" s="1" customFormat="1" x14ac:dyDescent="0.3">
      <c r="A92" s="1" t="s">
        <v>40</v>
      </c>
    </row>
    <row r="93" spans="1:11" x14ac:dyDescent="0.3">
      <c r="A93" s="3" t="s">
        <v>53</v>
      </c>
      <c r="B93" s="9">
        <v>95.92</v>
      </c>
      <c r="C93" s="9">
        <v>95.92</v>
      </c>
      <c r="D93" s="9">
        <v>95.92</v>
      </c>
      <c r="E93" s="9">
        <v>95.92</v>
      </c>
      <c r="F93" s="9">
        <v>95.92</v>
      </c>
      <c r="G93" s="9">
        <v>95.92</v>
      </c>
      <c r="H93" s="9">
        <v>95.92</v>
      </c>
      <c r="I93" s="9">
        <v>95.92</v>
      </c>
      <c r="J93" s="9">
        <v>95.92</v>
      </c>
      <c r="K93" s="9">
        <v>95.92</v>
      </c>
    </row>
  </sheetData>
  <sheetProtection sheet="1" objects="1" scenarios="1"/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D4A-2993-4F9B-B47C-4C9669C8D086}">
  <dimension ref="B2:L36"/>
  <sheetViews>
    <sheetView tabSelected="1" workbookViewId="0">
      <selection activeCell="B25" sqref="B25:B31"/>
    </sheetView>
  </sheetViews>
  <sheetFormatPr defaultRowHeight="14.4" x14ac:dyDescent="0.3"/>
  <cols>
    <col min="2" max="2" width="25.77734375" bestFit="1" customWidth="1"/>
    <col min="3" max="10" width="10.77734375" customWidth="1"/>
  </cols>
  <sheetData>
    <row r="2" spans="2:12" x14ac:dyDescent="0.3">
      <c r="C2" s="10">
        <v>41699</v>
      </c>
      <c r="D2" s="10">
        <v>42064</v>
      </c>
      <c r="E2" s="10">
        <v>42430</v>
      </c>
      <c r="F2" s="10">
        <v>42795</v>
      </c>
      <c r="G2" s="10">
        <v>43160</v>
      </c>
      <c r="H2" s="10">
        <v>43525</v>
      </c>
      <c r="I2" s="10">
        <v>43891</v>
      </c>
      <c r="J2" s="10">
        <v>44256</v>
      </c>
      <c r="K2" s="10">
        <v>44621</v>
      </c>
      <c r="L2" s="10">
        <v>44986</v>
      </c>
    </row>
    <row r="3" spans="2:12" x14ac:dyDescent="0.3">
      <c r="B3" s="2" t="s">
        <v>88</v>
      </c>
      <c r="C3" s="23">
        <v>1402</v>
      </c>
      <c r="D3" s="23">
        <v>1188</v>
      </c>
      <c r="E3" s="23">
        <v>2243</v>
      </c>
      <c r="F3" s="23">
        <v>1527</v>
      </c>
      <c r="G3" s="23">
        <v>2113</v>
      </c>
      <c r="H3" s="23">
        <v>2470</v>
      </c>
      <c r="I3" s="23">
        <v>3038</v>
      </c>
      <c r="J3" s="23">
        <v>3683</v>
      </c>
      <c r="K3">
        <v>986</v>
      </c>
      <c r="L3" s="21">
        <v>4193</v>
      </c>
    </row>
    <row r="4" spans="2:12" x14ac:dyDescent="0.3">
      <c r="B4" t="s">
        <v>89</v>
      </c>
      <c r="C4" s="21">
        <v>2051</v>
      </c>
      <c r="D4" s="21">
        <v>2271</v>
      </c>
      <c r="E4" s="21">
        <v>2848</v>
      </c>
      <c r="F4" s="21">
        <v>3056</v>
      </c>
      <c r="G4" s="21">
        <v>3274</v>
      </c>
      <c r="H4" s="21">
        <v>3861</v>
      </c>
      <c r="I4" s="21">
        <v>4380</v>
      </c>
      <c r="J4" s="21">
        <v>4970</v>
      </c>
      <c r="K4" s="21">
        <v>4957</v>
      </c>
      <c r="L4" s="21">
        <v>6460</v>
      </c>
    </row>
    <row r="5" spans="2:12" x14ac:dyDescent="0.3">
      <c r="B5" t="s">
        <v>42</v>
      </c>
      <c r="C5" s="21">
        <v>-254</v>
      </c>
      <c r="D5" s="21">
        <v>-155</v>
      </c>
      <c r="E5" s="21">
        <v>-146</v>
      </c>
      <c r="F5" s="21">
        <v>-475</v>
      </c>
      <c r="G5" s="21">
        <v>-483</v>
      </c>
      <c r="H5" s="21">
        <v>-205</v>
      </c>
      <c r="I5">
        <v>160</v>
      </c>
      <c r="J5" s="21">
        <v>-849</v>
      </c>
      <c r="K5" s="21">
        <v>-1326</v>
      </c>
      <c r="L5">
        <v>-834</v>
      </c>
    </row>
    <row r="6" spans="2:12" x14ac:dyDescent="0.3">
      <c r="B6" t="s">
        <v>29</v>
      </c>
      <c r="C6" s="21">
        <v>-231</v>
      </c>
      <c r="D6" s="21">
        <v>-144</v>
      </c>
      <c r="E6" s="21">
        <v>202</v>
      </c>
      <c r="F6" s="21">
        <v>-629</v>
      </c>
      <c r="G6" s="21">
        <v>-39</v>
      </c>
      <c r="H6" s="21">
        <v>-492</v>
      </c>
      <c r="I6">
        <v>-251</v>
      </c>
      <c r="J6" s="21">
        <v>-409</v>
      </c>
      <c r="K6" s="21">
        <v>-2354</v>
      </c>
      <c r="L6">
        <v>-56</v>
      </c>
    </row>
    <row r="7" spans="2:12" x14ac:dyDescent="0.3">
      <c r="B7" t="s">
        <v>90</v>
      </c>
      <c r="C7" s="21">
        <v>317</v>
      </c>
      <c r="D7" s="21">
        <v>-151</v>
      </c>
      <c r="E7" s="21">
        <v>142</v>
      </c>
      <c r="F7" s="21">
        <v>501</v>
      </c>
      <c r="G7" s="21">
        <v>442</v>
      </c>
      <c r="H7" s="21">
        <v>287</v>
      </c>
      <c r="I7" s="21">
        <v>-241</v>
      </c>
      <c r="J7" s="21">
        <v>1143</v>
      </c>
      <c r="K7">
        <v>644</v>
      </c>
      <c r="L7">
        <v>-539</v>
      </c>
    </row>
    <row r="8" spans="2:12" x14ac:dyDescent="0.3"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-92</v>
      </c>
      <c r="K8">
        <v>242</v>
      </c>
      <c r="L8">
        <v>657</v>
      </c>
    </row>
    <row r="9" spans="2:12" x14ac:dyDescent="0.3">
      <c r="B9" t="s">
        <v>92</v>
      </c>
      <c r="C9" s="21">
        <v>-168</v>
      </c>
      <c r="D9" s="21">
        <v>-450</v>
      </c>
      <c r="E9">
        <v>198</v>
      </c>
      <c r="F9" s="21">
        <v>-603</v>
      </c>
      <c r="G9">
        <v>-80</v>
      </c>
      <c r="H9" s="21">
        <v>-410</v>
      </c>
      <c r="I9" s="21">
        <v>-331</v>
      </c>
      <c r="J9" s="21">
        <v>-206</v>
      </c>
      <c r="K9" s="21">
        <v>-2795</v>
      </c>
      <c r="L9">
        <v>-772</v>
      </c>
    </row>
    <row r="10" spans="2:12" x14ac:dyDescent="0.3">
      <c r="B10" t="s">
        <v>93</v>
      </c>
      <c r="C10" s="21">
        <v>-480</v>
      </c>
      <c r="D10" s="21">
        <v>-633</v>
      </c>
      <c r="E10" s="21">
        <v>-802</v>
      </c>
      <c r="F10" s="21">
        <v>-925</v>
      </c>
      <c r="G10" s="21">
        <v>-1081</v>
      </c>
      <c r="H10">
        <v>-982</v>
      </c>
      <c r="I10" s="21">
        <v>-1011</v>
      </c>
      <c r="J10" s="21">
        <v>-1080</v>
      </c>
      <c r="K10" s="21">
        <v>-1176</v>
      </c>
      <c r="L10" s="21">
        <v>-1494</v>
      </c>
    </row>
    <row r="11" spans="2:12" x14ac:dyDescent="0.3">
      <c r="B11" t="s">
        <v>165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>
        <v>0</v>
      </c>
      <c r="L11">
        <v>0</v>
      </c>
    </row>
    <row r="12" spans="2:12" x14ac:dyDescent="0.3">
      <c r="C12" s="21"/>
      <c r="D12" s="21"/>
      <c r="E12" s="21"/>
      <c r="F12" s="21"/>
      <c r="G12" s="21"/>
      <c r="H12" s="21"/>
      <c r="I12" s="21"/>
      <c r="J12" s="21"/>
    </row>
    <row r="13" spans="2:12" x14ac:dyDescent="0.3">
      <c r="B13" s="2" t="s">
        <v>94</v>
      </c>
      <c r="C13" s="23">
        <v>-586</v>
      </c>
      <c r="D13" s="23">
        <v>-465</v>
      </c>
      <c r="E13" s="23">
        <v>-866</v>
      </c>
      <c r="F13" s="23">
        <v>-681</v>
      </c>
      <c r="G13" s="23">
        <v>-1556</v>
      </c>
      <c r="H13" s="23">
        <v>-918</v>
      </c>
      <c r="I13" s="23">
        <v>-518</v>
      </c>
      <c r="J13" s="23">
        <v>-541</v>
      </c>
      <c r="K13">
        <v>-317</v>
      </c>
      <c r="L13" s="21">
        <v>-1282</v>
      </c>
    </row>
    <row r="14" spans="2:12" x14ac:dyDescent="0.3">
      <c r="B14" t="s">
        <v>95</v>
      </c>
      <c r="C14" s="21">
        <v>-251</v>
      </c>
      <c r="D14" s="21">
        <v>-454</v>
      </c>
      <c r="E14" s="21">
        <v>-817</v>
      </c>
      <c r="F14" s="21">
        <v>-684</v>
      </c>
      <c r="G14" s="21">
        <v>-1426</v>
      </c>
      <c r="H14" s="21">
        <v>-1151</v>
      </c>
      <c r="I14" s="21">
        <v>-404</v>
      </c>
      <c r="J14" s="21">
        <v>-282</v>
      </c>
      <c r="K14">
        <v>-551</v>
      </c>
      <c r="L14" s="21">
        <v>-1446</v>
      </c>
    </row>
    <row r="15" spans="2:12" x14ac:dyDescent="0.3">
      <c r="B15" t="s">
        <v>96</v>
      </c>
      <c r="C15">
        <v>16</v>
      </c>
      <c r="D15">
        <v>16</v>
      </c>
      <c r="E15">
        <v>15</v>
      </c>
      <c r="F15">
        <v>17</v>
      </c>
      <c r="G15">
        <v>17</v>
      </c>
      <c r="H15">
        <v>17</v>
      </c>
      <c r="I15">
        <v>37</v>
      </c>
      <c r="J15">
        <v>28</v>
      </c>
      <c r="K15">
        <v>40</v>
      </c>
      <c r="L15">
        <v>26</v>
      </c>
    </row>
    <row r="16" spans="2:12" x14ac:dyDescent="0.3">
      <c r="B16" t="s">
        <v>97</v>
      </c>
      <c r="C16" s="21">
        <v>-872</v>
      </c>
      <c r="D16">
        <v>-243</v>
      </c>
      <c r="E16">
        <v>-282</v>
      </c>
      <c r="F16">
        <v>-153</v>
      </c>
      <c r="G16" s="21">
        <v>-320</v>
      </c>
      <c r="H16" s="21">
        <v>-573</v>
      </c>
      <c r="I16" s="21">
        <v>-25</v>
      </c>
      <c r="J16">
        <v>-140</v>
      </c>
      <c r="K16">
        <v>0</v>
      </c>
      <c r="L16">
        <v>-146</v>
      </c>
    </row>
    <row r="17" spans="2:12" x14ac:dyDescent="0.3">
      <c r="B17" t="s">
        <v>98</v>
      </c>
      <c r="C17">
        <v>463</v>
      </c>
      <c r="D17" s="21">
        <v>278</v>
      </c>
      <c r="E17" s="21">
        <v>205</v>
      </c>
      <c r="F17" s="21">
        <v>357</v>
      </c>
      <c r="G17">
        <v>362</v>
      </c>
      <c r="H17">
        <v>733</v>
      </c>
      <c r="I17">
        <v>134</v>
      </c>
      <c r="J17" s="21">
        <v>272</v>
      </c>
      <c r="K17">
        <v>207</v>
      </c>
      <c r="L17">
        <v>446</v>
      </c>
    </row>
    <row r="18" spans="2:12" x14ac:dyDescent="0.3">
      <c r="B18" t="s">
        <v>99</v>
      </c>
      <c r="C18">
        <v>14</v>
      </c>
      <c r="D18">
        <v>11</v>
      </c>
      <c r="E18">
        <v>15</v>
      </c>
      <c r="F18">
        <v>32</v>
      </c>
      <c r="G18" s="21">
        <v>39</v>
      </c>
      <c r="H18">
        <v>40</v>
      </c>
      <c r="I18">
        <v>65</v>
      </c>
      <c r="J18">
        <v>73</v>
      </c>
      <c r="K18">
        <v>77</v>
      </c>
      <c r="L18">
        <v>87</v>
      </c>
    </row>
    <row r="19" spans="2:12" x14ac:dyDescent="0.3">
      <c r="B19" t="s">
        <v>100</v>
      </c>
      <c r="C19">
        <v>65</v>
      </c>
      <c r="D19">
        <v>71</v>
      </c>
      <c r="E19" s="21">
        <v>69</v>
      </c>
      <c r="F19">
        <v>74</v>
      </c>
      <c r="G19">
        <v>38</v>
      </c>
      <c r="H19">
        <v>40</v>
      </c>
      <c r="I19">
        <v>27</v>
      </c>
      <c r="J19">
        <v>8</v>
      </c>
      <c r="K19">
        <v>15</v>
      </c>
      <c r="L19">
        <v>56</v>
      </c>
    </row>
    <row r="20" spans="2:12" x14ac:dyDescent="0.3"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-180</v>
      </c>
    </row>
    <row r="21" spans="2:12" x14ac:dyDescent="0.3">
      <c r="B21" t="s">
        <v>102</v>
      </c>
      <c r="C21">
        <v>0</v>
      </c>
      <c r="D21">
        <v>0</v>
      </c>
      <c r="E21">
        <v>0</v>
      </c>
      <c r="F21">
        <v>0</v>
      </c>
      <c r="G21">
        <v>141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2:12" x14ac:dyDescent="0.3">
      <c r="B22" t="s">
        <v>103</v>
      </c>
      <c r="C22">
        <v>0</v>
      </c>
      <c r="D22">
        <v>0</v>
      </c>
      <c r="E22">
        <v>0</v>
      </c>
      <c r="F22">
        <v>0</v>
      </c>
      <c r="G22">
        <v>-525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2:12" x14ac:dyDescent="0.3">
      <c r="B23" t="s">
        <v>104</v>
      </c>
      <c r="C23">
        <v>-21</v>
      </c>
      <c r="D23">
        <v>-144</v>
      </c>
      <c r="E23">
        <v>-70</v>
      </c>
      <c r="F23">
        <v>-324</v>
      </c>
      <c r="G23">
        <v>118</v>
      </c>
      <c r="H23">
        <v>-24</v>
      </c>
      <c r="I23">
        <v>-353</v>
      </c>
      <c r="J23">
        <v>-500</v>
      </c>
      <c r="K23">
        <v>-105</v>
      </c>
      <c r="L23">
        <v>-126</v>
      </c>
    </row>
    <row r="25" spans="2:12" x14ac:dyDescent="0.3">
      <c r="B25" s="2" t="s">
        <v>105</v>
      </c>
      <c r="C25" s="2">
        <v>-626</v>
      </c>
      <c r="D25" s="2">
        <v>-576</v>
      </c>
      <c r="E25" s="2">
        <v>-849</v>
      </c>
      <c r="F25" s="2">
        <v>-756</v>
      </c>
      <c r="G25" s="23">
        <v>-1379</v>
      </c>
      <c r="H25" s="23">
        <v>-1117</v>
      </c>
      <c r="I25" s="23">
        <v>-2871</v>
      </c>
      <c r="J25" s="2">
        <v>-650</v>
      </c>
      <c r="K25" s="23">
        <v>-1808</v>
      </c>
      <c r="L25" s="23">
        <v>-2140</v>
      </c>
    </row>
    <row r="26" spans="2:12" x14ac:dyDescent="0.3">
      <c r="B26" t="s">
        <v>106</v>
      </c>
      <c r="C26" s="21">
        <v>44</v>
      </c>
      <c r="D26" s="21">
        <v>239</v>
      </c>
      <c r="E26" s="21">
        <v>8</v>
      </c>
      <c r="F26" s="21">
        <v>271</v>
      </c>
      <c r="G26" s="21">
        <v>10</v>
      </c>
      <c r="H26" s="21">
        <v>243</v>
      </c>
      <c r="I26" s="21">
        <v>18</v>
      </c>
      <c r="J26" s="21">
        <v>155</v>
      </c>
      <c r="K26">
        <v>418</v>
      </c>
      <c r="L26">
        <v>254</v>
      </c>
    </row>
    <row r="27" spans="2:12" x14ac:dyDescent="0.3">
      <c r="B27" s="79" t="s">
        <v>107</v>
      </c>
      <c r="C27" s="80">
        <v>-81</v>
      </c>
      <c r="D27" s="80">
        <v>-86</v>
      </c>
      <c r="E27" s="80">
        <v>-119</v>
      </c>
      <c r="F27" s="80">
        <v>-58</v>
      </c>
      <c r="G27" s="80">
        <v>-54</v>
      </c>
      <c r="H27" s="80">
        <v>-26</v>
      </c>
      <c r="I27" s="80">
        <v>-279</v>
      </c>
      <c r="J27" s="80">
        <v>-14</v>
      </c>
      <c r="K27" s="79">
        <v>-8</v>
      </c>
      <c r="L27" s="79">
        <v>-25</v>
      </c>
    </row>
    <row r="28" spans="2:12" x14ac:dyDescent="0.3">
      <c r="B28" t="s">
        <v>108</v>
      </c>
      <c r="C28" s="21">
        <v>-42</v>
      </c>
      <c r="D28">
        <v>-35</v>
      </c>
      <c r="E28">
        <v>-40</v>
      </c>
      <c r="F28">
        <v>-36</v>
      </c>
      <c r="G28" s="21">
        <v>-35</v>
      </c>
      <c r="H28" s="21">
        <v>-106</v>
      </c>
      <c r="I28">
        <v>-101</v>
      </c>
      <c r="J28">
        <v>-89</v>
      </c>
      <c r="K28">
        <v>-94</v>
      </c>
      <c r="L28">
        <v>-142</v>
      </c>
    </row>
    <row r="29" spans="2:12" x14ac:dyDescent="0.3">
      <c r="B29" t="s">
        <v>109</v>
      </c>
      <c r="C29">
        <v>-547</v>
      </c>
      <c r="D29">
        <v>-695</v>
      </c>
      <c r="E29">
        <v>-764</v>
      </c>
      <c r="F29">
        <v>-947</v>
      </c>
      <c r="G29" s="21">
        <v>-1218</v>
      </c>
      <c r="H29" s="21">
        <v>-1049</v>
      </c>
      <c r="I29" s="21">
        <v>-2121</v>
      </c>
      <c r="J29">
        <v>-499</v>
      </c>
      <c r="K29" s="21">
        <v>-1763</v>
      </c>
      <c r="L29" s="21">
        <v>-1936</v>
      </c>
    </row>
    <row r="30" spans="2:12" x14ac:dyDescent="0.3">
      <c r="B30" t="s">
        <v>110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-180</v>
      </c>
      <c r="I30" s="21">
        <v>-179</v>
      </c>
      <c r="J30" s="21">
        <v>-203</v>
      </c>
      <c r="K30">
        <v>-221</v>
      </c>
      <c r="L30">
        <v>-256</v>
      </c>
    </row>
    <row r="31" spans="2:12" x14ac:dyDescent="0.3">
      <c r="B31" t="s">
        <v>111</v>
      </c>
      <c r="C31" s="21">
        <v>0</v>
      </c>
      <c r="D31" s="21">
        <v>0</v>
      </c>
      <c r="E31" s="21">
        <v>66</v>
      </c>
      <c r="F31" s="21">
        <v>13</v>
      </c>
      <c r="G31" s="21">
        <v>-82</v>
      </c>
      <c r="H31" s="21">
        <v>0</v>
      </c>
      <c r="I31" s="21">
        <v>-209</v>
      </c>
      <c r="J31" s="21">
        <v>0</v>
      </c>
      <c r="K31">
        <v>-140</v>
      </c>
      <c r="L31">
        <v>-36</v>
      </c>
    </row>
    <row r="32" spans="2:12" x14ac:dyDescent="0.3">
      <c r="B32" t="s">
        <v>20</v>
      </c>
      <c r="C32" s="21">
        <v>190</v>
      </c>
      <c r="D32" s="21">
        <v>147</v>
      </c>
      <c r="E32" s="21">
        <v>528</v>
      </c>
      <c r="F32" s="21">
        <v>90</v>
      </c>
      <c r="G32" s="21">
        <v>-822</v>
      </c>
      <c r="H32" s="21">
        <v>434</v>
      </c>
      <c r="I32" s="21">
        <v>-351</v>
      </c>
      <c r="J32" s="21">
        <v>2492</v>
      </c>
      <c r="K32" s="21">
        <v>-1138</v>
      </c>
      <c r="L32">
        <v>771</v>
      </c>
    </row>
    <row r="34" spans="2:10" x14ac:dyDescent="0.3">
      <c r="G34" s="21"/>
      <c r="H34" s="21"/>
      <c r="I34" s="21"/>
      <c r="J34" s="21"/>
    </row>
    <row r="35" spans="2:10" x14ac:dyDescent="0.3">
      <c r="I35" s="21"/>
      <c r="J35" s="21"/>
    </row>
    <row r="36" spans="2:10" x14ac:dyDescent="0.3">
      <c r="B36" s="22"/>
      <c r="C36" s="24"/>
      <c r="D36" s="24"/>
      <c r="E36" s="22"/>
      <c r="F36" s="24"/>
      <c r="G36" s="24"/>
      <c r="H36" s="24"/>
      <c r="I36" s="24"/>
      <c r="J3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Financials</vt:lpstr>
      <vt:lpstr>Historical FS</vt:lpstr>
      <vt:lpstr>Ratio Analysis</vt:lpstr>
      <vt:lpstr>Forecasting</vt:lpstr>
      <vt:lpstr>Peer Analysis</vt:lpstr>
      <vt:lpstr>Data</vt:lpstr>
      <vt:lpstr>Data Sheet</vt:lpstr>
      <vt:lpstr>Cash Flow Data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Aniruddha</cp:lastModifiedBy>
  <cp:lastPrinted>2012-12-06T18:14:13Z</cp:lastPrinted>
  <dcterms:created xsi:type="dcterms:W3CDTF">2012-08-17T09:55:37Z</dcterms:created>
  <dcterms:modified xsi:type="dcterms:W3CDTF">2023-07-22T07:24:55Z</dcterms:modified>
</cp:coreProperties>
</file>