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ruddha\Downloads\"/>
    </mc:Choice>
  </mc:AlternateContent>
  <xr:revisionPtr revIDLastSave="0" documentId="13_ncr:1_{18675EA7-E12F-44A5-8D30-C47BBCAF79FD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Financials" sheetId="8" r:id="rId1"/>
    <sheet name="Historical FS" sheetId="7" r:id="rId2"/>
    <sheet name="Ratio Analysis" sheetId="11" r:id="rId3"/>
    <sheet name="Forecasting" sheetId="12" r:id="rId4"/>
    <sheet name="Peer Analysis" sheetId="13" r:id="rId5"/>
    <sheet name="Data" sheetId="9" r:id="rId6"/>
    <sheet name="Data Sheet" sheetId="6" r:id="rId7"/>
    <sheet name="Cash Flow Data" sheetId="10" r:id="rId8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6" i="7" l="1"/>
  <c r="K106" i="7"/>
  <c r="J106" i="7"/>
  <c r="I106" i="7"/>
  <c r="H106" i="7"/>
  <c r="G106" i="7"/>
  <c r="F106" i="7"/>
  <c r="E106" i="7"/>
  <c r="D106" i="7"/>
  <c r="L104" i="7"/>
  <c r="K104" i="7"/>
  <c r="J104" i="7"/>
  <c r="I104" i="7"/>
  <c r="H104" i="7"/>
  <c r="G104" i="7"/>
  <c r="F104" i="7"/>
  <c r="E104" i="7"/>
  <c r="D104" i="7"/>
  <c r="C104" i="7"/>
  <c r="L103" i="7"/>
  <c r="K103" i="7"/>
  <c r="J103" i="7"/>
  <c r="I103" i="7"/>
  <c r="H103" i="7"/>
  <c r="G103" i="7"/>
  <c r="F103" i="7"/>
  <c r="E103" i="7"/>
  <c r="D103" i="7"/>
  <c r="L102" i="7"/>
  <c r="K102" i="7"/>
  <c r="J102" i="7"/>
  <c r="I102" i="7"/>
  <c r="H102" i="7"/>
  <c r="G102" i="7"/>
  <c r="F102" i="7"/>
  <c r="E102" i="7"/>
  <c r="D102" i="7"/>
  <c r="L101" i="7"/>
  <c r="K101" i="7"/>
  <c r="J101" i="7"/>
  <c r="I101" i="7"/>
  <c r="H101" i="7"/>
  <c r="G101" i="7"/>
  <c r="F101" i="7"/>
  <c r="E101" i="7"/>
  <c r="D101" i="7"/>
  <c r="L100" i="7"/>
  <c r="K100" i="7"/>
  <c r="J100" i="7"/>
  <c r="I100" i="7"/>
  <c r="H100" i="7"/>
  <c r="G100" i="7"/>
  <c r="F100" i="7"/>
  <c r="E100" i="7"/>
  <c r="D100" i="7"/>
  <c r="L99" i="7"/>
  <c r="K99" i="7"/>
  <c r="J99" i="7"/>
  <c r="I99" i="7"/>
  <c r="H99" i="7"/>
  <c r="G99" i="7"/>
  <c r="F99" i="7"/>
  <c r="E99" i="7"/>
  <c r="D99" i="7"/>
  <c r="L98" i="7"/>
  <c r="K98" i="7"/>
  <c r="J98" i="7"/>
  <c r="I98" i="7"/>
  <c r="H98" i="7"/>
  <c r="G98" i="7"/>
  <c r="F98" i="7"/>
  <c r="E98" i="7"/>
  <c r="D98" i="7"/>
  <c r="L97" i="7"/>
  <c r="K97" i="7"/>
  <c r="J97" i="7"/>
  <c r="I97" i="7"/>
  <c r="H97" i="7"/>
  <c r="G97" i="7"/>
  <c r="F97" i="7"/>
  <c r="E97" i="7"/>
  <c r="D97" i="7"/>
  <c r="L96" i="7"/>
  <c r="K96" i="7"/>
  <c r="J96" i="7"/>
  <c r="I96" i="7"/>
  <c r="H96" i="7"/>
  <c r="G96" i="7"/>
  <c r="F96" i="7"/>
  <c r="E96" i="7"/>
  <c r="D96" i="7"/>
  <c r="L95" i="7"/>
  <c r="K95" i="7"/>
  <c r="J95" i="7"/>
  <c r="I95" i="7"/>
  <c r="H95" i="7"/>
  <c r="G95" i="7"/>
  <c r="F95" i="7"/>
  <c r="E95" i="7"/>
  <c r="D95" i="7"/>
  <c r="C103" i="7"/>
  <c r="C102" i="7"/>
  <c r="C101" i="7"/>
  <c r="C100" i="7"/>
  <c r="C99" i="7"/>
  <c r="C98" i="7"/>
  <c r="C97" i="7"/>
  <c r="C96" i="7"/>
  <c r="C95" i="7"/>
  <c r="L92" i="7"/>
  <c r="K92" i="7"/>
  <c r="J92" i="7"/>
  <c r="I92" i="7"/>
  <c r="H92" i="7"/>
  <c r="G92" i="7"/>
  <c r="F92" i="7"/>
  <c r="E92" i="7"/>
  <c r="D92" i="7"/>
  <c r="C92" i="7"/>
  <c r="L91" i="7"/>
  <c r="K91" i="7"/>
  <c r="J91" i="7"/>
  <c r="I91" i="7"/>
  <c r="H91" i="7"/>
  <c r="G91" i="7"/>
  <c r="F91" i="7"/>
  <c r="E91" i="7"/>
  <c r="D91" i="7"/>
  <c r="L90" i="7"/>
  <c r="K90" i="7"/>
  <c r="J90" i="7"/>
  <c r="I90" i="7"/>
  <c r="H90" i="7"/>
  <c r="G90" i="7"/>
  <c r="F90" i="7"/>
  <c r="E90" i="7"/>
  <c r="D90" i="7"/>
  <c r="L89" i="7"/>
  <c r="K89" i="7"/>
  <c r="J89" i="7"/>
  <c r="I89" i="7"/>
  <c r="H89" i="7"/>
  <c r="G89" i="7"/>
  <c r="F89" i="7"/>
  <c r="E89" i="7"/>
  <c r="D89" i="7"/>
  <c r="L88" i="7"/>
  <c r="K88" i="7"/>
  <c r="J88" i="7"/>
  <c r="I88" i="7"/>
  <c r="H88" i="7"/>
  <c r="G88" i="7"/>
  <c r="F88" i="7"/>
  <c r="E88" i="7"/>
  <c r="D88" i="7"/>
  <c r="L87" i="7"/>
  <c r="K87" i="7"/>
  <c r="J87" i="7"/>
  <c r="I87" i="7"/>
  <c r="H87" i="7"/>
  <c r="G87" i="7"/>
  <c r="F87" i="7"/>
  <c r="E87" i="7"/>
  <c r="D87" i="7"/>
  <c r="L86" i="7"/>
  <c r="K86" i="7"/>
  <c r="J86" i="7"/>
  <c r="I86" i="7"/>
  <c r="H86" i="7"/>
  <c r="G86" i="7"/>
  <c r="F86" i="7"/>
  <c r="E86" i="7"/>
  <c r="D86" i="7"/>
  <c r="L85" i="7"/>
  <c r="K85" i="7"/>
  <c r="J85" i="7"/>
  <c r="I85" i="7"/>
  <c r="H85" i="7"/>
  <c r="G85" i="7"/>
  <c r="F85" i="7"/>
  <c r="E85" i="7"/>
  <c r="D85" i="7"/>
  <c r="L84" i="7"/>
  <c r="K84" i="7"/>
  <c r="J84" i="7"/>
  <c r="I84" i="7"/>
  <c r="H84" i="7"/>
  <c r="G84" i="7"/>
  <c r="F84" i="7"/>
  <c r="E84" i="7"/>
  <c r="D84" i="7"/>
  <c r="L83" i="7"/>
  <c r="K83" i="7"/>
  <c r="J83" i="7"/>
  <c r="I83" i="7"/>
  <c r="H83" i="7"/>
  <c r="G83" i="7"/>
  <c r="F83" i="7"/>
  <c r="E83" i="7"/>
  <c r="D83" i="7"/>
  <c r="L82" i="7"/>
  <c r="K82" i="7"/>
  <c r="J82" i="7"/>
  <c r="I82" i="7"/>
  <c r="H82" i="7"/>
  <c r="G82" i="7"/>
  <c r="F82" i="7"/>
  <c r="E82" i="7"/>
  <c r="D82" i="7"/>
  <c r="C91" i="7"/>
  <c r="C90" i="7"/>
  <c r="C89" i="7"/>
  <c r="C88" i="7"/>
  <c r="C87" i="7"/>
  <c r="C86" i="7"/>
  <c r="C85" i="7"/>
  <c r="C84" i="7"/>
  <c r="C83" i="7"/>
  <c r="C82" i="7"/>
  <c r="L79" i="7"/>
  <c r="K79" i="7"/>
  <c r="J79" i="7"/>
  <c r="I79" i="7"/>
  <c r="H79" i="7"/>
  <c r="G79" i="7"/>
  <c r="F79" i="7"/>
  <c r="E79" i="7"/>
  <c r="D79" i="7"/>
  <c r="C79" i="7"/>
  <c r="L78" i="7"/>
  <c r="K78" i="7"/>
  <c r="J78" i="7"/>
  <c r="I78" i="7"/>
  <c r="H78" i="7"/>
  <c r="G78" i="7"/>
  <c r="F78" i="7"/>
  <c r="E78" i="7"/>
  <c r="D78" i="7"/>
  <c r="L77" i="7"/>
  <c r="K77" i="7"/>
  <c r="J77" i="7"/>
  <c r="I77" i="7"/>
  <c r="H77" i="7"/>
  <c r="G77" i="7"/>
  <c r="F77" i="7"/>
  <c r="E77" i="7"/>
  <c r="D77" i="7"/>
  <c r="L76" i="7"/>
  <c r="K76" i="7"/>
  <c r="J76" i="7"/>
  <c r="I76" i="7"/>
  <c r="H76" i="7"/>
  <c r="G76" i="7"/>
  <c r="F76" i="7"/>
  <c r="E76" i="7"/>
  <c r="D76" i="7"/>
  <c r="L75" i="7"/>
  <c r="K75" i="7"/>
  <c r="J75" i="7"/>
  <c r="I75" i="7"/>
  <c r="H75" i="7"/>
  <c r="G75" i="7"/>
  <c r="F75" i="7"/>
  <c r="E75" i="7"/>
  <c r="D75" i="7"/>
  <c r="L74" i="7"/>
  <c r="K74" i="7"/>
  <c r="J74" i="7"/>
  <c r="I74" i="7"/>
  <c r="H74" i="7"/>
  <c r="G74" i="7"/>
  <c r="F74" i="7"/>
  <c r="E74" i="7"/>
  <c r="D74" i="7"/>
  <c r="L73" i="7"/>
  <c r="K73" i="7"/>
  <c r="J73" i="7"/>
  <c r="I73" i="7"/>
  <c r="H73" i="7"/>
  <c r="G73" i="7"/>
  <c r="F73" i="7"/>
  <c r="E73" i="7"/>
  <c r="D73" i="7"/>
  <c r="L72" i="7"/>
  <c r="K72" i="7"/>
  <c r="J72" i="7"/>
  <c r="I72" i="7"/>
  <c r="H72" i="7"/>
  <c r="G72" i="7"/>
  <c r="F72" i="7"/>
  <c r="E72" i="7"/>
  <c r="D72" i="7"/>
  <c r="L71" i="7"/>
  <c r="K71" i="7"/>
  <c r="J71" i="7"/>
  <c r="I71" i="7"/>
  <c r="H71" i="7"/>
  <c r="G71" i="7"/>
  <c r="F71" i="7"/>
  <c r="E71" i="7"/>
  <c r="D71" i="7"/>
  <c r="L70" i="7"/>
  <c r="K70" i="7"/>
  <c r="J70" i="7"/>
  <c r="I70" i="7"/>
  <c r="H70" i="7"/>
  <c r="G70" i="7"/>
  <c r="F70" i="7"/>
  <c r="E70" i="7"/>
  <c r="D70" i="7"/>
  <c r="C78" i="7"/>
  <c r="C77" i="7"/>
  <c r="C76" i="7"/>
  <c r="C75" i="7"/>
  <c r="C74" i="7"/>
  <c r="C73" i="7"/>
  <c r="C72" i="7"/>
  <c r="C71" i="7"/>
  <c r="C70" i="7"/>
  <c r="D6" i="12" a="1"/>
  <c r="D12" i="12" s="1"/>
  <c r="L4" i="12"/>
  <c r="L7" i="12"/>
  <c r="L8" i="12" s="1"/>
  <c r="L9" i="12" s="1"/>
  <c r="L10" i="12" s="1"/>
  <c r="L11" i="12" s="1"/>
  <c r="L12" i="12" s="1"/>
  <c r="L13" i="12" s="1"/>
  <c r="L14" i="12" s="1"/>
  <c r="L15" i="12" s="1"/>
  <c r="L16" i="12" s="1"/>
  <c r="M6" i="12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G4" i="12"/>
  <c r="G7" i="12"/>
  <c r="G8" i="12" s="1"/>
  <c r="G9" i="12" s="1"/>
  <c r="G10" i="12" s="1"/>
  <c r="G11" i="12" s="1"/>
  <c r="G12" i="12" s="1"/>
  <c r="G13" i="12" s="1"/>
  <c r="G14" i="12" s="1"/>
  <c r="G15" i="12" s="1"/>
  <c r="G16" i="12" s="1"/>
  <c r="H6" i="12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C6" i="12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B4" i="12"/>
  <c r="B7" i="12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D14" i="12" l="1"/>
  <c r="D7" i="12"/>
  <c r="E7" i="12" s="1"/>
  <c r="D15" i="12"/>
  <c r="E15" i="12" s="1"/>
  <c r="D8" i="12"/>
  <c r="D6" i="12"/>
  <c r="D13" i="12"/>
  <c r="D9" i="12"/>
  <c r="D10" i="12"/>
  <c r="D11" i="12"/>
  <c r="E10" i="12"/>
  <c r="E14" i="12"/>
  <c r="L17" i="12"/>
  <c r="G17" i="12"/>
  <c r="E8" i="12" l="1"/>
  <c r="E11" i="12"/>
  <c r="E12" i="12"/>
  <c r="E9" i="12"/>
  <c r="E13" i="12"/>
  <c r="D19" i="12"/>
  <c r="D20" i="12"/>
  <c r="E20" i="12" s="1"/>
  <c r="D17" i="12"/>
  <c r="D18" i="12"/>
  <c r="D16" i="12"/>
  <c r="E16" i="12" s="1"/>
  <c r="L18" i="12"/>
  <c r="G18" i="12"/>
  <c r="E18" i="12" l="1"/>
  <c r="E17" i="12"/>
  <c r="E19" i="12"/>
  <c r="L19" i="12"/>
  <c r="G19" i="12"/>
  <c r="L20" i="12" l="1"/>
  <c r="G20" i="12"/>
  <c r="L3" i="11" l="1"/>
  <c r="B2" i="11"/>
  <c r="K3" i="11"/>
  <c r="J3" i="11"/>
  <c r="I3" i="11"/>
  <c r="H3" i="11"/>
  <c r="G3" i="11"/>
  <c r="F3" i="11"/>
  <c r="E3" i="11"/>
  <c r="D3" i="11"/>
  <c r="C3" i="11"/>
  <c r="L113" i="7"/>
  <c r="K113" i="7"/>
  <c r="J113" i="7"/>
  <c r="I113" i="7"/>
  <c r="H113" i="7"/>
  <c r="G113" i="7"/>
  <c r="F113" i="7"/>
  <c r="E113" i="7"/>
  <c r="D113" i="7"/>
  <c r="C113" i="7"/>
  <c r="L112" i="7"/>
  <c r="K112" i="7"/>
  <c r="J112" i="7"/>
  <c r="I112" i="7"/>
  <c r="H112" i="7"/>
  <c r="G112" i="7"/>
  <c r="F112" i="7"/>
  <c r="E112" i="7"/>
  <c r="D112" i="7"/>
  <c r="C112" i="7"/>
  <c r="L111" i="7"/>
  <c r="K111" i="7"/>
  <c r="J111" i="7"/>
  <c r="I111" i="7"/>
  <c r="H111" i="7"/>
  <c r="G111" i="7"/>
  <c r="F111" i="7"/>
  <c r="E111" i="7"/>
  <c r="D111" i="7"/>
  <c r="C111" i="7"/>
  <c r="L110" i="7"/>
  <c r="K110" i="7"/>
  <c r="J110" i="7"/>
  <c r="I110" i="7"/>
  <c r="H110" i="7"/>
  <c r="G110" i="7"/>
  <c r="F110" i="7"/>
  <c r="E110" i="7"/>
  <c r="D110" i="7"/>
  <c r="C110" i="7"/>
  <c r="L56" i="7"/>
  <c r="K56" i="7"/>
  <c r="J56" i="7"/>
  <c r="I56" i="7"/>
  <c r="H56" i="7"/>
  <c r="G56" i="7"/>
  <c r="F56" i="7"/>
  <c r="E56" i="7"/>
  <c r="D56" i="7"/>
  <c r="C56" i="7"/>
  <c r="L61" i="7"/>
  <c r="K61" i="7"/>
  <c r="J61" i="7"/>
  <c r="I61" i="7"/>
  <c r="H61" i="7"/>
  <c r="G61" i="7"/>
  <c r="F61" i="7"/>
  <c r="E61" i="7"/>
  <c r="D61" i="7"/>
  <c r="C61" i="7"/>
  <c r="L60" i="7"/>
  <c r="K60" i="7"/>
  <c r="J60" i="7"/>
  <c r="I60" i="7"/>
  <c r="H60" i="7"/>
  <c r="G60" i="7"/>
  <c r="F60" i="7"/>
  <c r="E60" i="7"/>
  <c r="D60" i="7"/>
  <c r="C60" i="7"/>
  <c r="L59" i="7"/>
  <c r="K59" i="7"/>
  <c r="J59" i="7"/>
  <c r="I59" i="7"/>
  <c r="H59" i="7"/>
  <c r="G59" i="7"/>
  <c r="F59" i="7"/>
  <c r="E59" i="7"/>
  <c r="D59" i="7"/>
  <c r="C59" i="7"/>
  <c r="L55" i="7"/>
  <c r="K55" i="7"/>
  <c r="J55" i="7"/>
  <c r="I55" i="7"/>
  <c r="H55" i="7"/>
  <c r="G55" i="7"/>
  <c r="F55" i="7"/>
  <c r="E55" i="7"/>
  <c r="D55" i="7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C55" i="7"/>
  <c r="C54" i="7"/>
  <c r="C53" i="7"/>
  <c r="L50" i="7"/>
  <c r="K50" i="7"/>
  <c r="J50" i="7"/>
  <c r="I50" i="7"/>
  <c r="H50" i="7"/>
  <c r="G50" i="7"/>
  <c r="F50" i="7"/>
  <c r="E50" i="7"/>
  <c r="D50" i="7"/>
  <c r="C50" i="7"/>
  <c r="L49" i="7"/>
  <c r="K49" i="7"/>
  <c r="J49" i="7"/>
  <c r="I49" i="7"/>
  <c r="H49" i="7"/>
  <c r="G49" i="7"/>
  <c r="F49" i="7"/>
  <c r="E49" i="7"/>
  <c r="D49" i="7"/>
  <c r="C49" i="7"/>
  <c r="L48" i="7"/>
  <c r="K48" i="7"/>
  <c r="J48" i="7"/>
  <c r="I48" i="7"/>
  <c r="H48" i="7"/>
  <c r="G48" i="7"/>
  <c r="F48" i="7"/>
  <c r="E48" i="7"/>
  <c r="D48" i="7"/>
  <c r="C48" i="7"/>
  <c r="L47" i="7"/>
  <c r="K47" i="7"/>
  <c r="J47" i="7"/>
  <c r="I47" i="7"/>
  <c r="H47" i="7"/>
  <c r="G47" i="7"/>
  <c r="F47" i="7"/>
  <c r="E47" i="7"/>
  <c r="D47" i="7"/>
  <c r="C47" i="7"/>
  <c r="L36" i="7"/>
  <c r="L41" i="7" s="1"/>
  <c r="K36" i="7"/>
  <c r="K41" i="7" s="1"/>
  <c r="J36" i="7"/>
  <c r="J41" i="7" s="1"/>
  <c r="I36" i="7"/>
  <c r="I41" i="7" s="1"/>
  <c r="H36" i="7"/>
  <c r="H41" i="7" s="1"/>
  <c r="G36" i="7"/>
  <c r="G41" i="7" s="1"/>
  <c r="F36" i="7"/>
  <c r="F41" i="7" s="1"/>
  <c r="E36" i="7"/>
  <c r="E41" i="7" s="1"/>
  <c r="D36" i="7"/>
  <c r="D41" i="7" s="1"/>
  <c r="C36" i="7"/>
  <c r="C41" i="7" s="1"/>
  <c r="L30" i="7"/>
  <c r="K30" i="7"/>
  <c r="J30" i="7"/>
  <c r="I30" i="7"/>
  <c r="H30" i="7"/>
  <c r="G30" i="7"/>
  <c r="F30" i="7"/>
  <c r="E30" i="7"/>
  <c r="D30" i="7"/>
  <c r="C30" i="7"/>
  <c r="L24" i="7"/>
  <c r="K24" i="7"/>
  <c r="J24" i="7"/>
  <c r="I24" i="7"/>
  <c r="H24" i="7"/>
  <c r="G24" i="7"/>
  <c r="F24" i="7"/>
  <c r="E24" i="7"/>
  <c r="D24" i="7"/>
  <c r="C24" i="7"/>
  <c r="L21" i="7"/>
  <c r="K21" i="7"/>
  <c r="J21" i="7"/>
  <c r="I21" i="7"/>
  <c r="H21" i="7"/>
  <c r="G21" i="7"/>
  <c r="F21" i="7"/>
  <c r="E21" i="7"/>
  <c r="D21" i="7"/>
  <c r="C21" i="7"/>
  <c r="L15" i="7"/>
  <c r="K15" i="7"/>
  <c r="J15" i="7"/>
  <c r="I15" i="7"/>
  <c r="H15" i="7"/>
  <c r="G15" i="7"/>
  <c r="F15" i="7"/>
  <c r="E15" i="7"/>
  <c r="D15" i="7"/>
  <c r="C15" i="7"/>
  <c r="L9" i="7"/>
  <c r="K9" i="7"/>
  <c r="J9" i="7"/>
  <c r="I9" i="7"/>
  <c r="H9" i="7"/>
  <c r="G9" i="7"/>
  <c r="F9" i="7"/>
  <c r="E9" i="7"/>
  <c r="D9" i="7"/>
  <c r="C9" i="7"/>
  <c r="L6" i="7"/>
  <c r="K6" i="7"/>
  <c r="J6" i="7"/>
  <c r="I6" i="7"/>
  <c r="H6" i="7"/>
  <c r="G6" i="7"/>
  <c r="F6" i="7"/>
  <c r="E6" i="7"/>
  <c r="D6" i="7"/>
  <c r="C6" i="7"/>
  <c r="L3" i="7"/>
  <c r="K3" i="7"/>
  <c r="J3" i="7"/>
  <c r="I3" i="7"/>
  <c r="H3" i="7"/>
  <c r="G3" i="7"/>
  <c r="F3" i="7"/>
  <c r="E3" i="7"/>
  <c r="D3" i="7"/>
  <c r="C3" i="7"/>
  <c r="B2" i="7"/>
  <c r="F29" i="11" l="1"/>
  <c r="F36" i="11" s="1"/>
  <c r="I27" i="11"/>
  <c r="I34" i="11" s="1"/>
  <c r="C28" i="11"/>
  <c r="D62" i="7"/>
  <c r="H41" i="11"/>
  <c r="I10" i="7"/>
  <c r="G41" i="11"/>
  <c r="J10" i="7"/>
  <c r="H10" i="7"/>
  <c r="D31" i="11"/>
  <c r="G22" i="7"/>
  <c r="F41" i="11"/>
  <c r="J31" i="11"/>
  <c r="H16" i="7"/>
  <c r="H17" i="11" s="1"/>
  <c r="G10" i="7"/>
  <c r="E9" i="11"/>
  <c r="E41" i="11"/>
  <c r="G28" i="11"/>
  <c r="G35" i="11" s="1"/>
  <c r="E10" i="7"/>
  <c r="K16" i="7"/>
  <c r="K17" i="11" s="1"/>
  <c r="G51" i="7"/>
  <c r="I62" i="7"/>
  <c r="H28" i="11"/>
  <c r="H35" i="11" s="1"/>
  <c r="H25" i="7"/>
  <c r="H18" i="11" s="1"/>
  <c r="H51" i="7"/>
  <c r="F57" i="7"/>
  <c r="J62" i="7"/>
  <c r="E16" i="7"/>
  <c r="E17" i="11" s="1"/>
  <c r="I25" i="7"/>
  <c r="I18" i="11" s="1"/>
  <c r="L62" i="7"/>
  <c r="E25" i="7"/>
  <c r="E18" i="11" s="1"/>
  <c r="F16" i="7"/>
  <c r="F17" i="11" s="1"/>
  <c r="D22" i="7"/>
  <c r="L22" i="7"/>
  <c r="J25" i="7"/>
  <c r="J18" i="11" s="1"/>
  <c r="K31" i="11"/>
  <c r="L31" i="11"/>
  <c r="C16" i="7"/>
  <c r="C17" i="11" s="1"/>
  <c r="C29" i="11"/>
  <c r="C36" i="11" s="1"/>
  <c r="E30" i="11"/>
  <c r="C10" i="7"/>
  <c r="K10" i="7"/>
  <c r="G16" i="7"/>
  <c r="G17" i="11" s="1"/>
  <c r="E22" i="7"/>
  <c r="C25" i="7"/>
  <c r="C18" i="11" s="1"/>
  <c r="K25" i="7"/>
  <c r="K18" i="11" s="1"/>
  <c r="I51" i="7"/>
  <c r="C62" i="7"/>
  <c r="K62" i="7"/>
  <c r="K22" i="7"/>
  <c r="L25" i="7"/>
  <c r="L18" i="11" s="1"/>
  <c r="J51" i="7"/>
  <c r="C22" i="7"/>
  <c r="D10" i="7"/>
  <c r="F22" i="7"/>
  <c r="H57" i="7"/>
  <c r="G12" i="7"/>
  <c r="G13" i="7" s="1"/>
  <c r="G11" i="11" s="1"/>
  <c r="I16" i="7"/>
  <c r="I17" i="11" s="1"/>
  <c r="C51" i="7"/>
  <c r="K51" i="7"/>
  <c r="G57" i="7"/>
  <c r="E62" i="7"/>
  <c r="J39" i="11"/>
  <c r="G29" i="11"/>
  <c r="G36" i="11" s="1"/>
  <c r="H27" i="11"/>
  <c r="H34" i="11" s="1"/>
  <c r="F10" i="7"/>
  <c r="J12" i="7"/>
  <c r="J13" i="7" s="1"/>
  <c r="J11" i="11" s="1"/>
  <c r="J16" i="7"/>
  <c r="J17" i="11" s="1"/>
  <c r="H22" i="7"/>
  <c r="F25" i="7"/>
  <c r="F18" i="11" s="1"/>
  <c r="D51" i="7"/>
  <c r="L51" i="7"/>
  <c r="J57" i="7"/>
  <c r="J64" i="7" s="1"/>
  <c r="F62" i="7"/>
  <c r="E57" i="7"/>
  <c r="C39" i="11"/>
  <c r="K41" i="11"/>
  <c r="E31" i="11"/>
  <c r="L10" i="7"/>
  <c r="D25" i="7"/>
  <c r="D18" i="11" s="1"/>
  <c r="I12" i="7"/>
  <c r="I18" i="7" s="1"/>
  <c r="I25" i="11" s="1"/>
  <c r="I22" i="7"/>
  <c r="G25" i="7"/>
  <c r="G18" i="11" s="1"/>
  <c r="I7" i="7"/>
  <c r="I5" i="11" s="1"/>
  <c r="E51" i="7"/>
  <c r="G62" i="7"/>
  <c r="D41" i="11"/>
  <c r="L41" i="11"/>
  <c r="K39" i="11"/>
  <c r="D16" i="7"/>
  <c r="D17" i="11" s="1"/>
  <c r="L16" i="7"/>
  <c r="L17" i="11" s="1"/>
  <c r="J22" i="7"/>
  <c r="J7" i="7"/>
  <c r="J5" i="11" s="1"/>
  <c r="F51" i="7"/>
  <c r="D57" i="7"/>
  <c r="L57" i="7"/>
  <c r="H62" i="7"/>
  <c r="F9" i="11"/>
  <c r="G9" i="11"/>
  <c r="I9" i="11"/>
  <c r="J9" i="11"/>
  <c r="C35" i="11"/>
  <c r="K9" i="11"/>
  <c r="D9" i="11"/>
  <c r="L9" i="11"/>
  <c r="F30" i="11"/>
  <c r="C12" i="7"/>
  <c r="C18" i="7" s="1"/>
  <c r="C27" i="7" s="1"/>
  <c r="I57" i="7"/>
  <c r="H9" i="11"/>
  <c r="C30" i="11"/>
  <c r="J27" i="11"/>
  <c r="J34" i="11" s="1"/>
  <c r="I28" i="11"/>
  <c r="I35" i="11" s="1"/>
  <c r="H29" i="11"/>
  <c r="H36" i="11" s="1"/>
  <c r="G30" i="11"/>
  <c r="F31" i="11"/>
  <c r="D39" i="11"/>
  <c r="L39" i="11"/>
  <c r="I41" i="11"/>
  <c r="K12" i="7"/>
  <c r="K13" i="7" s="1"/>
  <c r="K11" i="11" s="1"/>
  <c r="D12" i="7"/>
  <c r="D13" i="7" s="1"/>
  <c r="D11" i="11" s="1"/>
  <c r="L12" i="7"/>
  <c r="L13" i="7" s="1"/>
  <c r="L11" i="11" s="1"/>
  <c r="K7" i="7"/>
  <c r="K5" i="11" s="1"/>
  <c r="C31" i="11"/>
  <c r="K27" i="11"/>
  <c r="K34" i="11" s="1"/>
  <c r="J28" i="11"/>
  <c r="J35" i="11" s="1"/>
  <c r="I29" i="11"/>
  <c r="I36" i="11" s="1"/>
  <c r="H30" i="11"/>
  <c r="G31" i="11"/>
  <c r="E39" i="11"/>
  <c r="J41" i="11"/>
  <c r="E12" i="7"/>
  <c r="E18" i="7" s="1"/>
  <c r="D7" i="7"/>
  <c r="D5" i="11" s="1"/>
  <c r="L7" i="7"/>
  <c r="L5" i="11" s="1"/>
  <c r="C57" i="7"/>
  <c r="K57" i="7"/>
  <c r="D27" i="11"/>
  <c r="D34" i="11" s="1"/>
  <c r="L27" i="11"/>
  <c r="L34" i="11" s="1"/>
  <c r="K28" i="11"/>
  <c r="K35" i="11" s="1"/>
  <c r="J29" i="11"/>
  <c r="J36" i="11" s="1"/>
  <c r="I30" i="11"/>
  <c r="H31" i="11"/>
  <c r="F39" i="11"/>
  <c r="C41" i="11"/>
  <c r="F12" i="7"/>
  <c r="F18" i="7" s="1"/>
  <c r="F27" i="7" s="1"/>
  <c r="E7" i="7"/>
  <c r="E5" i="11" s="1"/>
  <c r="E27" i="11"/>
  <c r="E34" i="11" s="1"/>
  <c r="D28" i="11"/>
  <c r="D35" i="11" s="1"/>
  <c r="L28" i="11"/>
  <c r="L35" i="11" s="1"/>
  <c r="K29" i="11"/>
  <c r="K36" i="11" s="1"/>
  <c r="J30" i="11"/>
  <c r="I31" i="11"/>
  <c r="G39" i="11"/>
  <c r="F27" i="11"/>
  <c r="F34" i="11" s="1"/>
  <c r="E28" i="11"/>
  <c r="E35" i="11" s="1"/>
  <c r="D29" i="11"/>
  <c r="D36" i="11" s="1"/>
  <c r="L29" i="11"/>
  <c r="L36" i="11" s="1"/>
  <c r="K30" i="11"/>
  <c r="H39" i="11"/>
  <c r="H12" i="7"/>
  <c r="H13" i="7" s="1"/>
  <c r="H11" i="11" s="1"/>
  <c r="G7" i="7"/>
  <c r="G5" i="11" s="1"/>
  <c r="C27" i="11"/>
  <c r="G27" i="11"/>
  <c r="G34" i="11" s="1"/>
  <c r="F28" i="11"/>
  <c r="F35" i="11" s="1"/>
  <c r="E29" i="11"/>
  <c r="E36" i="11" s="1"/>
  <c r="D30" i="11"/>
  <c r="L30" i="11"/>
  <c r="I39" i="11"/>
  <c r="F7" i="7"/>
  <c r="F5" i="11" s="1"/>
  <c r="H7" i="7"/>
  <c r="H5" i="11" s="1"/>
  <c r="J18" i="7"/>
  <c r="E13" i="7"/>
  <c r="E11" i="11" s="1"/>
  <c r="I64" i="7" l="1"/>
  <c r="I66" i="7" s="1"/>
  <c r="K64" i="7"/>
  <c r="K66" i="7" s="1"/>
  <c r="I13" i="7"/>
  <c r="I11" i="11" s="1"/>
  <c r="D64" i="7"/>
  <c r="D66" i="7" s="1"/>
  <c r="L18" i="7"/>
  <c r="L25" i="11" s="1"/>
  <c r="I13" i="11"/>
  <c r="I19" i="11" s="1"/>
  <c r="I27" i="7"/>
  <c r="I31" i="7" s="1"/>
  <c r="I19" i="7"/>
  <c r="I12" i="11" s="1"/>
  <c r="L64" i="7"/>
  <c r="G64" i="7"/>
  <c r="G40" i="11" s="1"/>
  <c r="D18" i="7"/>
  <c r="D25" i="11" s="1"/>
  <c r="F37" i="11"/>
  <c r="G18" i="7"/>
  <c r="G25" i="11" s="1"/>
  <c r="G37" i="11"/>
  <c r="H64" i="7"/>
  <c r="D40" i="11"/>
  <c r="I21" i="11"/>
  <c r="N17" i="11"/>
  <c r="H37" i="11"/>
  <c r="O18" i="11"/>
  <c r="C64" i="7"/>
  <c r="C66" i="7" s="1"/>
  <c r="O17" i="11"/>
  <c r="E64" i="7"/>
  <c r="E66" i="7" s="1"/>
  <c r="C13" i="7"/>
  <c r="C11" i="11" s="1"/>
  <c r="J37" i="11"/>
  <c r="F64" i="7"/>
  <c r="F40" i="11" s="1"/>
  <c r="F66" i="7"/>
  <c r="F13" i="7"/>
  <c r="F11" i="11" s="1"/>
  <c r="K18" i="7"/>
  <c r="K13" i="11" s="1"/>
  <c r="K19" i="11" s="1"/>
  <c r="L37" i="11"/>
  <c r="N18" i="11"/>
  <c r="K37" i="11"/>
  <c r="E37" i="11"/>
  <c r="O36" i="11"/>
  <c r="O39" i="11"/>
  <c r="D37" i="11"/>
  <c r="N36" i="11"/>
  <c r="C106" i="7"/>
  <c r="D13" i="11"/>
  <c r="D19" i="11" s="1"/>
  <c r="N5" i="11"/>
  <c r="O5" i="11"/>
  <c r="N29" i="11"/>
  <c r="I37" i="11"/>
  <c r="N39" i="11"/>
  <c r="J66" i="7"/>
  <c r="J40" i="11"/>
  <c r="E13" i="11"/>
  <c r="E19" i="11" s="1"/>
  <c r="E25" i="11"/>
  <c r="E21" i="11"/>
  <c r="E19" i="7"/>
  <c r="E12" i="11" s="1"/>
  <c r="H18" i="7"/>
  <c r="H27" i="7" s="1"/>
  <c r="K40" i="11"/>
  <c r="N30" i="11"/>
  <c r="O30" i="11"/>
  <c r="J27" i="7"/>
  <c r="J33" i="7" s="1"/>
  <c r="J13" i="11"/>
  <c r="J19" i="11" s="1"/>
  <c r="J6" i="11"/>
  <c r="J25" i="11"/>
  <c r="J21" i="11"/>
  <c r="J19" i="7"/>
  <c r="J12" i="11" s="1"/>
  <c r="F31" i="7"/>
  <c r="F28" i="7"/>
  <c r="F14" i="11" s="1"/>
  <c r="G27" i="7"/>
  <c r="G33" i="7" s="1"/>
  <c r="G19" i="7"/>
  <c r="G12" i="11" s="1"/>
  <c r="F13" i="11"/>
  <c r="F19" i="11" s="1"/>
  <c r="F6" i="11"/>
  <c r="F19" i="7"/>
  <c r="F12" i="11" s="1"/>
  <c r="F25" i="11"/>
  <c r="F21" i="11"/>
  <c r="N31" i="11"/>
  <c r="O31" i="11"/>
  <c r="O9" i="11"/>
  <c r="N9" i="11"/>
  <c r="C28" i="7"/>
  <c r="C14" i="11" s="1"/>
  <c r="C31" i="7"/>
  <c r="O41" i="11"/>
  <c r="N41" i="11"/>
  <c r="N28" i="11"/>
  <c r="I28" i="7"/>
  <c r="I14" i="11" s="1"/>
  <c r="O29" i="11"/>
  <c r="E27" i="7"/>
  <c r="E33" i="7" s="1"/>
  <c r="C21" i="11"/>
  <c r="C25" i="11"/>
  <c r="C13" i="11"/>
  <c r="C19" i="7"/>
  <c r="C12" i="11" s="1"/>
  <c r="O28" i="11"/>
  <c r="I40" i="11"/>
  <c r="L21" i="11"/>
  <c r="N27" i="11"/>
  <c r="O27" i="11"/>
  <c r="C34" i="11"/>
  <c r="O35" i="11"/>
  <c r="N35" i="11"/>
  <c r="C33" i="7"/>
  <c r="I33" i="7"/>
  <c r="L27" i="7"/>
  <c r="F33" i="7"/>
  <c r="L19" i="7" l="1"/>
  <c r="L12" i="11" s="1"/>
  <c r="L13" i="11"/>
  <c r="L19" i="11" s="1"/>
  <c r="G6" i="11"/>
  <c r="E40" i="11"/>
  <c r="K19" i="7"/>
  <c r="K12" i="11" s="1"/>
  <c r="D27" i="7"/>
  <c r="D31" i="7" s="1"/>
  <c r="N11" i="11"/>
  <c r="E6" i="11"/>
  <c r="K27" i="7"/>
  <c r="L7" i="11" s="1"/>
  <c r="D19" i="7"/>
  <c r="D12" i="11" s="1"/>
  <c r="G66" i="7"/>
  <c r="C40" i="11"/>
  <c r="D21" i="11"/>
  <c r="O11" i="11"/>
  <c r="G13" i="11"/>
  <c r="G19" i="11" s="1"/>
  <c r="G21" i="11"/>
  <c r="L66" i="7"/>
  <c r="L40" i="11"/>
  <c r="L6" i="11"/>
  <c r="H66" i="7"/>
  <c r="H40" i="11"/>
  <c r="K25" i="11"/>
  <c r="D6" i="11"/>
  <c r="K21" i="11"/>
  <c r="K6" i="11"/>
  <c r="I6" i="12" a="1"/>
  <c r="H31" i="7"/>
  <c r="H28" i="7"/>
  <c r="H14" i="11" s="1"/>
  <c r="H7" i="11"/>
  <c r="I7" i="11"/>
  <c r="L28" i="7"/>
  <c r="L14" i="11" s="1"/>
  <c r="L31" i="7"/>
  <c r="I34" i="7"/>
  <c r="I15" i="11" s="1"/>
  <c r="I38" i="7"/>
  <c r="I23" i="11"/>
  <c r="G38" i="7"/>
  <c r="G23" i="11"/>
  <c r="G34" i="7"/>
  <c r="G15" i="11" s="1"/>
  <c r="G8" i="11"/>
  <c r="E38" i="7"/>
  <c r="E23" i="11"/>
  <c r="E34" i="7"/>
  <c r="E15" i="11" s="1"/>
  <c r="O34" i="11"/>
  <c r="N34" i="11"/>
  <c r="C37" i="11"/>
  <c r="J8" i="11"/>
  <c r="J38" i="7"/>
  <c r="J23" i="11"/>
  <c r="J34" i="7"/>
  <c r="J15" i="11" s="1"/>
  <c r="E7" i="11"/>
  <c r="E28" i="7"/>
  <c r="E14" i="11" s="1"/>
  <c r="E31" i="7"/>
  <c r="G28" i="7"/>
  <c r="G14" i="11" s="1"/>
  <c r="G7" i="11"/>
  <c r="G31" i="7"/>
  <c r="J28" i="7"/>
  <c r="J14" i="11" s="1"/>
  <c r="J7" i="11"/>
  <c r="J31" i="7"/>
  <c r="C19" i="11"/>
  <c r="F8" i="11"/>
  <c r="F38" i="7"/>
  <c r="F34" i="7"/>
  <c r="F15" i="11" s="1"/>
  <c r="F23" i="11"/>
  <c r="F7" i="11"/>
  <c r="C23" i="11"/>
  <c r="C38" i="7"/>
  <c r="C34" i="7"/>
  <c r="C15" i="11" s="1"/>
  <c r="H25" i="11"/>
  <c r="H21" i="11"/>
  <c r="H19" i="7"/>
  <c r="H12" i="11" s="1"/>
  <c r="H13" i="11"/>
  <c r="H19" i="11" s="1"/>
  <c r="H6" i="11"/>
  <c r="I6" i="11"/>
  <c r="H33" i="7"/>
  <c r="L33" i="7"/>
  <c r="K33" i="7" l="1"/>
  <c r="K34" i="7" s="1"/>
  <c r="K15" i="11" s="1"/>
  <c r="K31" i="7"/>
  <c r="K7" i="11"/>
  <c r="K28" i="7"/>
  <c r="K14" i="11" s="1"/>
  <c r="O12" i="11"/>
  <c r="D7" i="11"/>
  <c r="N7" i="11" s="1"/>
  <c r="D33" i="7"/>
  <c r="E8" i="11" s="1"/>
  <c r="D28" i="7"/>
  <c r="D14" i="11" s="1"/>
  <c r="O14" i="11" s="1"/>
  <c r="N25" i="11"/>
  <c r="O40" i="11"/>
  <c r="N40" i="11"/>
  <c r="O21" i="11"/>
  <c r="N13" i="11"/>
  <c r="N12" i="11"/>
  <c r="I12" i="12"/>
  <c r="I7" i="12"/>
  <c r="I8" i="12"/>
  <c r="I10" i="12"/>
  <c r="I11" i="12"/>
  <c r="I15" i="12"/>
  <c r="I14" i="12"/>
  <c r="I6" i="12"/>
  <c r="I13" i="12"/>
  <c r="J13" i="12" s="1"/>
  <c r="I9" i="12"/>
  <c r="O25" i="11"/>
  <c r="O6" i="11"/>
  <c r="N21" i="11"/>
  <c r="N6" i="11"/>
  <c r="H34" i="7"/>
  <c r="H15" i="11" s="1"/>
  <c r="H23" i="11"/>
  <c r="H38" i="7"/>
  <c r="I39" i="7" s="1"/>
  <c r="H8" i="11"/>
  <c r="F39" i="7"/>
  <c r="F42" i="7"/>
  <c r="F44" i="7" s="1"/>
  <c r="F22" i="11" s="1"/>
  <c r="F24" i="11" s="1"/>
  <c r="O37" i="11"/>
  <c r="N37" i="11"/>
  <c r="K38" i="7"/>
  <c r="K23" i="11"/>
  <c r="C42" i="7"/>
  <c r="C44" i="7" s="1"/>
  <c r="C22" i="11" s="1"/>
  <c r="L34" i="7"/>
  <c r="L15" i="11" s="1"/>
  <c r="L8" i="11"/>
  <c r="L23" i="11"/>
  <c r="L38" i="7"/>
  <c r="O13" i="11"/>
  <c r="G39" i="7"/>
  <c r="G42" i="7"/>
  <c r="G44" i="7" s="1"/>
  <c r="G22" i="11" s="1"/>
  <c r="G24" i="11" s="1"/>
  <c r="O19" i="11"/>
  <c r="N19" i="11"/>
  <c r="J39" i="7"/>
  <c r="J42" i="7"/>
  <c r="J44" i="7" s="1"/>
  <c r="J22" i="11" s="1"/>
  <c r="J24" i="11" s="1"/>
  <c r="I42" i="7"/>
  <c r="I44" i="7" s="1"/>
  <c r="I22" i="11" s="1"/>
  <c r="I24" i="11" s="1"/>
  <c r="E42" i="7"/>
  <c r="E44" i="7" s="1"/>
  <c r="E22" i="11" s="1"/>
  <c r="E24" i="11" s="1"/>
  <c r="I8" i="11"/>
  <c r="B6" i="6"/>
  <c r="E1" i="6"/>
  <c r="K8" i="11" l="1"/>
  <c r="O7" i="11"/>
  <c r="N14" i="11"/>
  <c r="D38" i="7"/>
  <c r="E39" i="7" s="1"/>
  <c r="D8" i="11"/>
  <c r="D34" i="7"/>
  <c r="D15" i="11" s="1"/>
  <c r="N15" i="11" s="1"/>
  <c r="D23" i="11"/>
  <c r="N23" i="11" s="1"/>
  <c r="J7" i="12"/>
  <c r="J14" i="12"/>
  <c r="J8" i="12"/>
  <c r="J10" i="12"/>
  <c r="J9" i="12"/>
  <c r="J12" i="12"/>
  <c r="J11" i="12"/>
  <c r="I17" i="12"/>
  <c r="I18" i="12"/>
  <c r="I19" i="12"/>
  <c r="I20" i="12"/>
  <c r="J20" i="12" s="1"/>
  <c r="I16" i="12"/>
  <c r="J16" i="12" s="1"/>
  <c r="J15" i="12"/>
  <c r="C24" i="11"/>
  <c r="K39" i="7"/>
  <c r="K42" i="7"/>
  <c r="K44" i="7" s="1"/>
  <c r="K22" i="11" s="1"/>
  <c r="K24" i="11" s="1"/>
  <c r="O23" i="11"/>
  <c r="O15" i="11"/>
  <c r="L39" i="7"/>
  <c r="L42" i="7"/>
  <c r="L44" i="7" s="1"/>
  <c r="L22" i="11" s="1"/>
  <c r="L24" i="11" s="1"/>
  <c r="H39" i="7"/>
  <c r="H42" i="7"/>
  <c r="H44" i="7" s="1"/>
  <c r="H22" i="11" s="1"/>
  <c r="H24" i="11" s="1"/>
  <c r="O8" i="11" l="1"/>
  <c r="N6" i="12" a="1"/>
  <c r="N9" i="12" s="1"/>
  <c r="N8" i="11"/>
  <c r="D42" i="7"/>
  <c r="D44" i="7" s="1"/>
  <c r="D22" i="11" s="1"/>
  <c r="O22" i="11" s="1"/>
  <c r="D39" i="7"/>
  <c r="J17" i="12"/>
  <c r="J18" i="12"/>
  <c r="J19" i="12"/>
  <c r="D24" i="11"/>
  <c r="N24" i="11" s="1"/>
  <c r="N22" i="11"/>
  <c r="N8" i="12" l="1"/>
  <c r="O9" i="12" s="1"/>
  <c r="N10" i="12"/>
  <c r="O10" i="12" s="1"/>
  <c r="N15" i="12"/>
  <c r="N11" i="12"/>
  <c r="N13" i="12"/>
  <c r="N7" i="12"/>
  <c r="O7" i="12" s="1"/>
  <c r="N6" i="12"/>
  <c r="N14" i="12"/>
  <c r="O14" i="12" s="1"/>
  <c r="N12" i="12"/>
  <c r="O15" i="12"/>
  <c r="O24" i="11"/>
  <c r="O13" i="12" l="1"/>
  <c r="N19" i="12"/>
  <c r="O19" i="12" s="1"/>
  <c r="N18" i="12"/>
  <c r="O11" i="12"/>
  <c r="O8" i="12"/>
  <c r="N17" i="12"/>
  <c r="O18" i="12" s="1"/>
  <c r="O12" i="12"/>
  <c r="N20" i="12"/>
  <c r="N16" i="12"/>
  <c r="O16" i="12" s="1"/>
  <c r="O20" i="12"/>
  <c r="O17" i="12" l="1"/>
</calcChain>
</file>

<file path=xl/sharedStrings.xml><?xml version="1.0" encoding="utf-8"?>
<sst xmlns="http://schemas.openxmlformats.org/spreadsheetml/2006/main" count="244" uniqueCount="157">
  <si>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</si>
  <si>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</si>
  <si>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</si>
  <si>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</si>
  <si>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</si>
  <si>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</si>
  <si>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</si>
  <si>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</si>
  <si>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</si>
  <si>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</si>
  <si>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</si>
  <si>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</si>
  <si>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</si>
  <si>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</si>
  <si>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</si>
  <si>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</si>
  <si>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</si>
  <si>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</si>
  <si>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</si>
  <si>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</si>
  <si>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</si>
  <si>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</si>
  <si>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</si>
  <si>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</si>
  <si>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</si>
  <si>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</si>
  <si>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</si>
  <si>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</si>
  <si>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</si>
  <si>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</si>
  <si>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</si>
  <si>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</si>
  <si>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AVENUE SUPERMARTS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</si>
  <si>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</si>
  <si>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</si>
  <si>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</si>
  <si>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</si>
  <si>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</si>
  <si>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</si>
  <si>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</si>
  <si>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</si>
  <si>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</si>
  <si>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</si>
  <si>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</si>
  <si>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</si>
  <si>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</si>
  <si>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</si>
  <si>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</si>
  <si>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</si>
  <si>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</si>
  <si>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</si>
  <si>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</si>
  <si>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</si>
  <si>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</si>
  <si>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 xml:space="preserve"> </t>
  </si>
  <si>
    <t>Years</t>
  </si>
  <si>
    <t>#</t>
  </si>
  <si>
    <t>Income Statement</t>
  </si>
  <si>
    <t>COGS</t>
  </si>
  <si>
    <t>COGS as % of Sales</t>
  </si>
  <si>
    <t>Gross Profit</t>
  </si>
  <si>
    <t>Gross Profit as % of Sales</t>
  </si>
  <si>
    <t>Selling &amp; General Expense</t>
  </si>
  <si>
    <t>S&amp;G as % of Sales</t>
  </si>
  <si>
    <t>EBITDA</t>
  </si>
  <si>
    <t>EBITDA Margin</t>
  </si>
  <si>
    <t>Interest as % of Sales</t>
  </si>
  <si>
    <t>Depreciation as % of Sales</t>
  </si>
  <si>
    <t>Earnings Before Tax</t>
  </si>
  <si>
    <t>EBT as % of Sales</t>
  </si>
  <si>
    <t>Efffective Tax Rate</t>
  </si>
  <si>
    <t>Net Profit</t>
  </si>
  <si>
    <t>Net Profit Margin</t>
  </si>
  <si>
    <t>NA</t>
  </si>
  <si>
    <t>No of Equity Shares</t>
  </si>
  <si>
    <t>Earnings Per Share</t>
  </si>
  <si>
    <t>EPS Growth Rate</t>
  </si>
  <si>
    <t>Dividend Per Share</t>
  </si>
  <si>
    <t>Dividend Payout Ratio</t>
  </si>
  <si>
    <t>Retained Earnings</t>
  </si>
  <si>
    <t>Balance Sheet</t>
  </si>
  <si>
    <t>Total Assets</t>
  </si>
  <si>
    <t>Total Non Current Assets</t>
  </si>
  <si>
    <t>Total Liabilities</t>
  </si>
  <si>
    <t>Total Current Assets</t>
  </si>
  <si>
    <t>Fiexed Assets Net Block</t>
  </si>
  <si>
    <t>Bal Check</t>
  </si>
  <si>
    <t>Cash Flow Statement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</si>
  <si>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</si>
  <si>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</si>
  <si>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</si>
  <si>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</si>
  <si>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</si>
  <si>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</si>
  <si>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</si>
  <si>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</si>
  <si>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</si>
  <si>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</si>
  <si>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</si>
  <si>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</si>
  <si>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</si>
  <si>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</si>
  <si>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</si>
  <si>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</si>
  <si>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</si>
  <si>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</si>
  <si>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</si>
  <si>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</si>
  <si>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</si>
  <si>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</si>
  <si>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</si>
  <si>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Financial liabilities</t>
  </si>
  <si>
    <t>Other financing items</t>
  </si>
  <si>
    <t>Cash from Operating Activities</t>
  </si>
  <si>
    <t>Operating Activities</t>
  </si>
  <si>
    <t>Cash from Investing Activities</t>
  </si>
  <si>
    <t>Investing Activities</t>
  </si>
  <si>
    <t>Financing Activities</t>
  </si>
  <si>
    <t>Cash from Financing Activities</t>
  </si>
  <si>
    <t>Short Cash Flow</t>
  </si>
  <si>
    <t>EBITDA Growth</t>
  </si>
  <si>
    <t>Net Profit Growth</t>
  </si>
  <si>
    <t>Dividend Growth</t>
  </si>
  <si>
    <t>Gross Margin</t>
  </si>
  <si>
    <t>EBIT Margin</t>
  </si>
  <si>
    <t>EBT Margin</t>
  </si>
  <si>
    <t>EBT Growth</t>
  </si>
  <si>
    <t>Selling Exp as % of Sales</t>
  </si>
  <si>
    <t>Operating Exp as % of Sales</t>
  </si>
  <si>
    <t>Return on Capital Employed</t>
  </si>
  <si>
    <t>Retained Earnings %</t>
  </si>
  <si>
    <t xml:space="preserve">Return on Equity </t>
  </si>
  <si>
    <t>Interest Coverage Ratio</t>
  </si>
  <si>
    <t>Self Sustained Growth Rate (g=b*r)</t>
  </si>
  <si>
    <t>Debtor Turnover Ratio</t>
  </si>
  <si>
    <t>CreditorTurnover Ratio</t>
  </si>
  <si>
    <t>Inventory Turnover</t>
  </si>
  <si>
    <t>Fixed Asset Turnover</t>
  </si>
  <si>
    <t>Capital Turnover</t>
  </si>
  <si>
    <t>Debtor Days</t>
  </si>
  <si>
    <t>Payable Days</t>
  </si>
  <si>
    <t>Inventory Days</t>
  </si>
  <si>
    <t>(In Days)</t>
  </si>
  <si>
    <t>CFO/Sales</t>
  </si>
  <si>
    <t>CFO/Total Assets</t>
  </si>
  <si>
    <t>CFO/Total Debt (Borrowings)</t>
  </si>
  <si>
    <t>Cash Conversion Cycle (Days)</t>
  </si>
  <si>
    <t>Na</t>
  </si>
  <si>
    <t>Mean</t>
  </si>
  <si>
    <t>Median</t>
  </si>
  <si>
    <t>Trend</t>
  </si>
  <si>
    <t>Weight</t>
  </si>
  <si>
    <t>Year</t>
  </si>
  <si>
    <t>Operating investments</t>
  </si>
  <si>
    <t>Investment income</t>
  </si>
  <si>
    <t>Proceeds from debentures</t>
  </si>
  <si>
    <t>Application money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</si>
</sst>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₹&quot;\ #,##0.00;[Red]&quot;₹&quot;\ \-#,##0.00"/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[Red]&quot;₹&quot;\ \-#,##0.0"/>
    <numFmt numFmtId="167" formatCode="&quot;₹&quot;\ #,##0.0;&quot;₹&quot;\ \(#,##0.0\)"/>
    <numFmt numFmtId="168" formatCode="&quot;₹&quot;\ #,##0.00"/>
    <numFmt numFmtId="169" formatCode="0.00\x"/>
    <numFmt numFmtId="170" formatCode="yyyy&quot;A&quot;"/>
    <numFmt numFmtId="171" formatCode="yyyy&quot;E&quot;"/>
    <numFmt numFmtId="172" formatCode="#,##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rgb="FF0000CC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3" tint="0.39994506668294322"/>
      </top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0" tint="-0.499984740745262"/>
      </top>
      <bottom style="thin">
        <color theme="3" tint="0.39994506668294322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167" fontId="3" fillId="0" borderId="0">
      <alignment horizontal="right"/>
    </xf>
    <xf numFmtId="9" fontId="3" fillId="0" borderId="0" applyFont="0" applyFill="0" applyBorder="0" applyAlignment="0" applyProtection="0"/>
  </cellStyleXfs>
  <cellXfs count="77">
    <xf numFmtId="0" fontId="0" fillId="0" borderId="0" xfId="0"/>
    <xf numFmtId="43" fontId="1" fillId="0" borderId="0" xfId="1" applyFont="1" applyBorder="1"/>
    <xf numFmtId="0" fontId="1" fillId="0" borderId="0" xfId="0" applyFont="1"/>
    <xf numFmtId="43" fontId="0" fillId="0" borderId="0" xfId="1" applyFont="1" applyBorder="1"/>
    <xf numFmtId="43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0" fontId="0" fillId="0" borderId="0" xfId="0" applyAlignment="1">
      <alignment horizontal="left"/>
    </xf>
    <xf numFmtId="164" fontId="0" fillId="0" borderId="0" xfId="1" applyNumberFormat="1" applyFont="1" applyBorder="1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0" fontId="7" fillId="0" borderId="0" xfId="0" applyFont="1" applyAlignment="1">
      <alignment horizontal="left"/>
    </xf>
    <xf numFmtId="9" fontId="7" fillId="0" borderId="0" xfId="0" applyNumberFormat="1" applyFont="1" applyAlignment="1">
      <alignment horizontal="right"/>
    </xf>
    <xf numFmtId="10" fontId="7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1" fillId="0" borderId="1" xfId="0" applyFont="1" applyBorder="1"/>
    <xf numFmtId="3" fontId="1" fillId="0" borderId="0" xfId="0" applyNumberFormat="1" applyFont="1"/>
    <xf numFmtId="3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166" fontId="1" fillId="0" borderId="2" xfId="0" applyNumberFormat="1" applyFont="1" applyBorder="1" applyAlignment="1">
      <alignment horizontal="right"/>
    </xf>
    <xf numFmtId="167" fontId="1" fillId="0" borderId="2" xfId="0" applyNumberFormat="1" applyFont="1" applyBorder="1" applyAlignment="1">
      <alignment horizontal="right"/>
    </xf>
    <xf numFmtId="43" fontId="1" fillId="0" borderId="2" xfId="1" applyFont="1" applyBorder="1"/>
    <xf numFmtId="9" fontId="9" fillId="0" borderId="1" xfId="0" applyNumberFormat="1" applyFont="1" applyBorder="1" applyAlignment="1">
      <alignment horizontal="right"/>
    </xf>
    <xf numFmtId="10" fontId="9" fillId="0" borderId="1" xfId="0" applyNumberFormat="1" applyFont="1" applyBorder="1" applyAlignment="1">
      <alignment horizontal="right"/>
    </xf>
    <xf numFmtId="0" fontId="5" fillId="5" borderId="0" xfId="0" applyFont="1" applyFill="1"/>
    <xf numFmtId="17" fontId="5" fillId="5" borderId="0" xfId="0" applyNumberFormat="1" applyFont="1" applyFill="1" applyAlignment="1">
      <alignment horizontal="right"/>
    </xf>
    <xf numFmtId="0" fontId="0" fillId="0" borderId="3" xfId="0" applyBorder="1" applyAlignment="1">
      <alignment horizontal="left"/>
    </xf>
    <xf numFmtId="9" fontId="0" fillId="0" borderId="3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right"/>
    </xf>
    <xf numFmtId="167" fontId="3" fillId="0" borderId="2" xfId="4" applyBorder="1">
      <alignment horizontal="right"/>
    </xf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7" fontId="1" fillId="0" borderId="5" xfId="0" applyNumberFormat="1" applyFont="1" applyBorder="1" applyAlignment="1">
      <alignment horizontal="right"/>
    </xf>
    <xf numFmtId="167" fontId="1" fillId="0" borderId="0" xfId="0" applyNumberFormat="1" applyFont="1" applyAlignment="1">
      <alignment horizontal="right"/>
    </xf>
    <xf numFmtId="169" fontId="0" fillId="0" borderId="0" xfId="0" applyNumberFormat="1"/>
    <xf numFmtId="0" fontId="10" fillId="0" borderId="0" xfId="0" applyFont="1" applyAlignment="1">
      <alignment horizontal="left"/>
    </xf>
    <xf numFmtId="10" fontId="0" fillId="0" borderId="0" xfId="5" applyNumberFormat="1" applyFont="1" applyBorder="1"/>
    <xf numFmtId="0" fontId="0" fillId="0" borderId="6" xfId="0" applyBorder="1" applyAlignment="1">
      <alignment horizontal="left"/>
    </xf>
    <xf numFmtId="0" fontId="0" fillId="0" borderId="6" xfId="0" applyBorder="1"/>
    <xf numFmtId="10" fontId="0" fillId="0" borderId="6" xfId="5" applyNumberFormat="1" applyFont="1" applyBorder="1"/>
    <xf numFmtId="0" fontId="0" fillId="0" borderId="7" xfId="0" applyBorder="1" applyAlignment="1">
      <alignment horizontal="left"/>
    </xf>
    <xf numFmtId="0" fontId="0" fillId="0" borderId="7" xfId="0" applyBorder="1"/>
    <xf numFmtId="10" fontId="0" fillId="0" borderId="7" xfId="5" applyNumberFormat="1" applyFont="1" applyBorder="1"/>
    <xf numFmtId="10" fontId="0" fillId="0" borderId="7" xfId="0" applyNumberFormat="1" applyBorder="1"/>
    <xf numFmtId="169" fontId="0" fillId="0" borderId="7" xfId="0" applyNumberFormat="1" applyBorder="1"/>
    <xf numFmtId="169" fontId="0" fillId="0" borderId="6" xfId="0" applyNumberFormat="1" applyBorder="1"/>
    <xf numFmtId="0" fontId="0" fillId="0" borderId="8" xfId="0" applyBorder="1"/>
    <xf numFmtId="0" fontId="0" fillId="0" borderId="6" xfId="0" applyBorder="1" applyAlignment="1">
      <alignment horizontal="right"/>
    </xf>
    <xf numFmtId="1" fontId="0" fillId="0" borderId="0" xfId="0" applyNumberFormat="1"/>
    <xf numFmtId="1" fontId="0" fillId="0" borderId="6" xfId="0" applyNumberFormat="1" applyBorder="1"/>
    <xf numFmtId="1" fontId="0" fillId="0" borderId="7" xfId="0" applyNumberFormat="1" applyBorder="1"/>
    <xf numFmtId="17" fontId="5" fillId="5" borderId="0" xfId="0" applyNumberFormat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2" fontId="12" fillId="0" borderId="0" xfId="0" applyNumberFormat="1" applyFont="1" applyAlignment="1">
      <alignment horizontal="right"/>
    </xf>
    <xf numFmtId="0" fontId="0" fillId="8" borderId="0" xfId="0" applyFill="1" applyAlignment="1">
      <alignment horizontal="left"/>
    </xf>
    <xf numFmtId="171" fontId="0" fillId="8" borderId="0" xfId="0" applyNumberFormat="1" applyFill="1" applyAlignment="1">
      <alignment horizontal="right"/>
    </xf>
    <xf numFmtId="172" fontId="0" fillId="8" borderId="0" xfId="0" applyNumberFormat="1" applyFill="1" applyAlignment="1">
      <alignment horizontal="right"/>
    </xf>
    <xf numFmtId="10" fontId="0" fillId="8" borderId="0" xfId="0" applyNumberFormat="1" applyFill="1" applyAlignment="1">
      <alignment horizontal="right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5" fillId="7" borderId="0" xfId="0" applyFont="1" applyFill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</cellXfs>
  <cellStyles count="6">
    <cellStyle name="Accent6" xfId="3" builtinId="49"/>
    <cellStyle name="Comma" xfId="1" builtinId="3"/>
    <cellStyle name="Hyperlink" xfId="2" builtinId="8"/>
    <cellStyle name="Negative Number" xfId="4" xr:uid="{2F1F85C9-C3DA-4531-90FA-608711A58DBD}"/>
    <cellStyle name="Normal" xfId="0" builtinId="0"/>
    <cellStyle name="Percent" xfId="5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000CC"/>
      <color rgb="FF000066"/>
      <color rgb="FF0066FF"/>
      <color rgb="FF003366"/>
      <color rgb="FF0000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BD10-F054-4537-BE6D-DDDDB583A8FF}">
  <sheetPr>
    <tabColor theme="2" tint="-0.499984740745262"/>
  </sheetPr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E5D8-BC2D-4F92-A927-FB62C21A98EF}">
  <sheetPr>
    <tabColor rgb="FFFFC000"/>
  </sheetPr>
  <dimension ref="A1:O113"/>
  <sheetViews>
    <sheetView showGridLines="0" zoomScaleNormal="100" workbookViewId="0">
      <pane ySplit="3" topLeftCell="A94" activePane="bottomLeft" state="frozen"/>
      <selection pane="bottomLeft" activeCell="A117" sqref="A117"/>
    </sheetView>
  </sheetViews>
  <sheetFormatPr defaultRowHeight="14.4" x14ac:dyDescent="0.3"/>
  <cols>
    <col min="1" max="1" width="1.88671875" customWidth="1"/>
    <col min="2" max="2" width="30.77734375" style="8" customWidth="1"/>
    <col min="3" max="3" width="14.77734375" style="13" customWidth="1"/>
    <col min="4" max="12" width="14" style="13" customWidth="1"/>
  </cols>
  <sheetData>
    <row r="1" spans="1:12" x14ac:dyDescent="0.3">
      <c r="B1"/>
      <c r="C1"/>
      <c r="D1"/>
      <c r="E1"/>
      <c r="F1"/>
      <c r="G1"/>
      <c r="H1"/>
      <c r="I1"/>
      <c r="J1"/>
      <c r="K1"/>
      <c r="L1"/>
    </row>
    <row r="2" spans="1:12" x14ac:dyDescent="0.3">
      <c r="B2" s="72" t="str">
        <f>"Historical Financial Statements - "&amp;'Data Sheet'!B1</f>
        <v>Historical Financial Statements - AVENUE SUPERMARTS LTD</v>
      </c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x14ac:dyDescent="0.3">
      <c r="B3" s="33" t="s">
        <v>55</v>
      </c>
      <c r="C3" s="34">
        <f>'Data Sheet'!B16</f>
        <v>41729</v>
      </c>
      <c r="D3" s="34">
        <f>'Data Sheet'!C16</f>
        <v>42094</v>
      </c>
      <c r="E3" s="34">
        <f>'Data Sheet'!D16</f>
        <v>42460</v>
      </c>
      <c r="F3" s="34">
        <f>'Data Sheet'!E16</f>
        <v>42825</v>
      </c>
      <c r="G3" s="34">
        <f>'Data Sheet'!F16</f>
        <v>43190</v>
      </c>
      <c r="H3" s="34">
        <f>'Data Sheet'!G16</f>
        <v>43555</v>
      </c>
      <c r="I3" s="34">
        <f>'Data Sheet'!H16</f>
        <v>43921</v>
      </c>
      <c r="J3" s="34">
        <f>'Data Sheet'!I16</f>
        <v>44286</v>
      </c>
      <c r="K3" s="34">
        <f>'Data Sheet'!J16</f>
        <v>44651</v>
      </c>
      <c r="L3" s="34">
        <f>'Data Sheet'!K16</f>
        <v>45016</v>
      </c>
    </row>
    <row r="4" spans="1:12" s="11" customFormat="1" x14ac:dyDescent="0.3"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3">
      <c r="A5" t="s">
        <v>56</v>
      </c>
      <c r="B5" s="73" t="s">
        <v>57</v>
      </c>
      <c r="C5" s="73"/>
      <c r="D5" s="73"/>
      <c r="E5" s="73"/>
      <c r="F5" s="73"/>
      <c r="G5" s="73"/>
      <c r="H5" s="73"/>
      <c r="I5" s="73"/>
      <c r="J5" s="73"/>
      <c r="K5" s="73"/>
      <c r="L5" s="73"/>
    </row>
    <row r="6" spans="1:12" x14ac:dyDescent="0.3">
      <c r="B6" s="8" t="s">
        <v>0</v>
      </c>
      <c r="C6" s="14">
        <f>IFERROR('Data Sheet'!B17,0)</f>
        <v>4686.4799999999996</v>
      </c>
      <c r="D6" s="14">
        <f>IFERROR('Data Sheet'!C17,0)</f>
        <v>6439.43</v>
      </c>
      <c r="E6" s="14">
        <f>IFERROR('Data Sheet'!D17,0)</f>
        <v>8583.76</v>
      </c>
      <c r="F6" s="14">
        <f>IFERROR('Data Sheet'!E17,0)</f>
        <v>11897.7</v>
      </c>
      <c r="G6" s="14">
        <f>IFERROR('Data Sheet'!F17,0)</f>
        <v>15033.2</v>
      </c>
      <c r="H6" s="14">
        <f>IFERROR('Data Sheet'!G17,0)</f>
        <v>20004.52</v>
      </c>
      <c r="I6" s="14">
        <f>IFERROR('Data Sheet'!H17,0)</f>
        <v>24870.2</v>
      </c>
      <c r="J6" s="14">
        <f>IFERROR('Data Sheet'!I17,0)</f>
        <v>24143.06</v>
      </c>
      <c r="K6" s="14">
        <f>IFERROR('Data Sheet'!J17,0)</f>
        <v>30976.27</v>
      </c>
      <c r="L6" s="14">
        <f>IFERROR('Data Sheet'!K17,0)</f>
        <v>42839.56</v>
      </c>
    </row>
    <row r="7" spans="1:12" x14ac:dyDescent="0.3">
      <c r="B7" s="15" t="s">
        <v>9</v>
      </c>
      <c r="C7" s="16" t="s">
        <v>73</v>
      </c>
      <c r="D7" s="17">
        <f>D6/C6-1</f>
        <v>0.37404405865382984</v>
      </c>
      <c r="E7" s="17">
        <f t="shared" ref="E7:L7" si="0">E6/D6-1</f>
        <v>0.33299997049428276</v>
      </c>
      <c r="F7" s="17">
        <f t="shared" si="0"/>
        <v>0.38607090598991589</v>
      </c>
      <c r="G7" s="17">
        <f t="shared" si="0"/>
        <v>0.26353833093791246</v>
      </c>
      <c r="H7" s="17">
        <f t="shared" si="0"/>
        <v>0.33068940744485542</v>
      </c>
      <c r="I7" s="17">
        <f t="shared" si="0"/>
        <v>0.24322903023916598</v>
      </c>
      <c r="J7" s="17">
        <f t="shared" si="0"/>
        <v>-2.9237400583831175E-2</v>
      </c>
      <c r="K7" s="17">
        <f t="shared" si="0"/>
        <v>0.28302998874210639</v>
      </c>
      <c r="L7" s="17">
        <f t="shared" si="0"/>
        <v>0.38297993915987938</v>
      </c>
    </row>
    <row r="9" spans="1:12" x14ac:dyDescent="0.3">
      <c r="B9" s="8" t="s">
        <v>58</v>
      </c>
      <c r="C9" s="14">
        <f>IFERROR(SUM('Data Sheet'!B18,'Data Sheet'!B20:B22)-1*('Data Sheet'!B19),0)</f>
        <v>4240.6099999999997</v>
      </c>
      <c r="D9" s="14">
        <f>IFERROR(SUM('Data Sheet'!C18,'Data Sheet'!C20:C22)-1*('Data Sheet'!C19),0)</f>
        <v>5835.9300000000012</v>
      </c>
      <c r="E9" s="14">
        <f>IFERROR(SUM('Data Sheet'!D18,'Data Sheet'!D20:D22)-1*('Data Sheet'!D19),0)</f>
        <v>7773.1799999999994</v>
      </c>
      <c r="F9" s="14">
        <f>IFERROR(SUM('Data Sheet'!E18,'Data Sheet'!E20:E22)-1*('Data Sheet'!E19),0)</f>
        <v>10706.01</v>
      </c>
      <c r="G9" s="14">
        <f>IFERROR(SUM('Data Sheet'!F18,'Data Sheet'!F20:F22)-1*('Data Sheet'!F19),0)</f>
        <v>13413.76</v>
      </c>
      <c r="H9" s="14">
        <f>IFERROR(SUM('Data Sheet'!G18,'Data Sheet'!G20:G22)-1*('Data Sheet'!G19),0)</f>
        <v>18009.53</v>
      </c>
      <c r="I9" s="14">
        <f>IFERROR(SUM('Data Sheet'!H18,'Data Sheet'!H20:H22)-1*('Data Sheet'!H19),0)</f>
        <v>22394.27</v>
      </c>
      <c r="J9" s="14">
        <f>IFERROR(SUM('Data Sheet'!I18,'Data Sheet'!I20:I22)-1*('Data Sheet'!I19),0)</f>
        <v>22012.890000000003</v>
      </c>
      <c r="K9" s="14">
        <f>IFERROR(SUM('Data Sheet'!J18,'Data Sheet'!J20:J22)-1*('Data Sheet'!J19),0)</f>
        <v>28028.46</v>
      </c>
      <c r="L9" s="14">
        <f>IFERROR(SUM('Data Sheet'!K18,'Data Sheet'!K20:K22)-1*('Data Sheet'!K19),0)</f>
        <v>37130.86</v>
      </c>
    </row>
    <row r="10" spans="1:12" x14ac:dyDescent="0.3">
      <c r="B10" s="15" t="s">
        <v>59</v>
      </c>
      <c r="C10" s="17">
        <f>C9/C6</f>
        <v>0.90486036428193439</v>
      </c>
      <c r="D10" s="17">
        <f t="shared" ref="D10:L10" si="1">D9/D6</f>
        <v>0.90628052482906107</v>
      </c>
      <c r="E10" s="17">
        <f t="shared" si="1"/>
        <v>0.90556818923175852</v>
      </c>
      <c r="F10" s="17">
        <f t="shared" si="1"/>
        <v>0.89983862427191807</v>
      </c>
      <c r="G10" s="17">
        <f t="shared" si="1"/>
        <v>0.89227576297794209</v>
      </c>
      <c r="H10" s="17">
        <f t="shared" si="1"/>
        <v>0.9002730382933456</v>
      </c>
      <c r="I10" s="17">
        <f t="shared" si="1"/>
        <v>0.90044591519167516</v>
      </c>
      <c r="J10" s="17">
        <f t="shared" si="1"/>
        <v>0.91176884785938495</v>
      </c>
      <c r="K10" s="17">
        <f t="shared" si="1"/>
        <v>0.90483650872103061</v>
      </c>
      <c r="L10" s="17">
        <f t="shared" si="1"/>
        <v>0.86674232881943702</v>
      </c>
    </row>
    <row r="12" spans="1:12" x14ac:dyDescent="0.3">
      <c r="B12" s="27" t="s">
        <v>60</v>
      </c>
      <c r="C12" s="28">
        <f>IFERROR(C6-C9,0)</f>
        <v>445.86999999999989</v>
      </c>
      <c r="D12" s="28">
        <f t="shared" ref="D12:L12" si="2">IFERROR(D6-D9,0)</f>
        <v>603.49999999999909</v>
      </c>
      <c r="E12" s="28">
        <f t="shared" si="2"/>
        <v>810.58000000000084</v>
      </c>
      <c r="F12" s="28">
        <f t="shared" si="2"/>
        <v>1191.6900000000005</v>
      </c>
      <c r="G12" s="28">
        <f t="shared" si="2"/>
        <v>1619.4400000000005</v>
      </c>
      <c r="H12" s="28">
        <f t="shared" si="2"/>
        <v>1994.9900000000016</v>
      </c>
      <c r="I12" s="28">
        <f t="shared" si="2"/>
        <v>2475.9300000000003</v>
      </c>
      <c r="J12" s="28">
        <f t="shared" si="2"/>
        <v>2130.1699999999983</v>
      </c>
      <c r="K12" s="28">
        <f t="shared" si="2"/>
        <v>2947.8100000000013</v>
      </c>
      <c r="L12" s="28">
        <f t="shared" si="2"/>
        <v>5708.6999999999971</v>
      </c>
    </row>
    <row r="13" spans="1:12" x14ac:dyDescent="0.3">
      <c r="B13" s="15" t="s">
        <v>61</v>
      </c>
      <c r="C13" s="17">
        <f>C12/C6</f>
        <v>9.5139635718065566E-2</v>
      </c>
      <c r="D13" s="17">
        <f t="shared" ref="D13:L13" si="3">D12/D6</f>
        <v>9.3719475170938898E-2</v>
      </c>
      <c r="E13" s="17">
        <f t="shared" si="3"/>
        <v>9.4431810768241517E-2</v>
      </c>
      <c r="F13" s="17">
        <f t="shared" si="3"/>
        <v>0.10016137572808194</v>
      </c>
      <c r="G13" s="17">
        <f t="shared" si="3"/>
        <v>0.10772423702205787</v>
      </c>
      <c r="H13" s="17">
        <f t="shared" si="3"/>
        <v>9.9726961706654377E-2</v>
      </c>
      <c r="I13" s="17">
        <f t="shared" si="3"/>
        <v>9.9554084808324825E-2</v>
      </c>
      <c r="J13" s="17">
        <f t="shared" si="3"/>
        <v>8.8231152140615068E-2</v>
      </c>
      <c r="K13" s="17">
        <f t="shared" si="3"/>
        <v>9.5163491278969392E-2</v>
      </c>
      <c r="L13" s="17">
        <f t="shared" si="3"/>
        <v>0.13325767118056295</v>
      </c>
    </row>
    <row r="15" spans="1:12" x14ac:dyDescent="0.3">
      <c r="B15" s="8" t="s">
        <v>62</v>
      </c>
      <c r="C15" s="14">
        <f>IFERROR(SUM('Data Sheet'!B23:B24),0)</f>
        <v>104.59000000000003</v>
      </c>
      <c r="D15" s="14">
        <f>IFERROR(SUM('Data Sheet'!C23:C24),0)</f>
        <v>147.23999999999995</v>
      </c>
      <c r="E15" s="14">
        <f>IFERROR(SUM('Data Sheet'!D23:D24),0)</f>
        <v>146.12</v>
      </c>
      <c r="F15" s="14">
        <f>IFERROR(SUM('Data Sheet'!E23:E24),0)</f>
        <v>222.51</v>
      </c>
      <c r="G15" s="14">
        <f>IFERROR(SUM('Data Sheet'!F23:F24),0)</f>
        <v>266.58000000000004</v>
      </c>
      <c r="H15" s="14">
        <f>IFERROR(SUM('Data Sheet'!G23:G24),0)</f>
        <v>361.68</v>
      </c>
      <c r="I15" s="14">
        <f>IFERROR(SUM('Data Sheet'!H23:H24),0)</f>
        <v>347.62</v>
      </c>
      <c r="J15" s="14">
        <f>IFERROR(SUM('Data Sheet'!I23:I24),0)</f>
        <v>385.34</v>
      </c>
      <c r="K15" s="14">
        <f>IFERROR(SUM('Data Sheet'!J23:J24),0)</f>
        <v>445.46000000000004</v>
      </c>
      <c r="L15" s="14">
        <f>IFERROR(SUM('Data Sheet'!K23:K24),0)</f>
        <v>2071.67</v>
      </c>
    </row>
    <row r="16" spans="1:12" x14ac:dyDescent="0.3">
      <c r="B16" s="15" t="s">
        <v>63</v>
      </c>
      <c r="C16" s="17">
        <f>C15/C6</f>
        <v>2.2317389597309716E-2</v>
      </c>
      <c r="D16" s="17">
        <f t="shared" ref="D16:L16" si="4">D15/D6</f>
        <v>2.2865377836237051E-2</v>
      </c>
      <c r="E16" s="17">
        <f t="shared" si="4"/>
        <v>1.7022843136341184E-2</v>
      </c>
      <c r="F16" s="17">
        <f t="shared" si="4"/>
        <v>1.870193398724123E-2</v>
      </c>
      <c r="G16" s="17">
        <f t="shared" si="4"/>
        <v>1.7732751509991221E-2</v>
      </c>
      <c r="H16" s="17">
        <f t="shared" si="4"/>
        <v>1.8079913939449684E-2</v>
      </c>
      <c r="I16" s="17">
        <f t="shared" si="4"/>
        <v>1.3977370507675852E-2</v>
      </c>
      <c r="J16" s="17">
        <f t="shared" si="4"/>
        <v>1.5960694294757993E-2</v>
      </c>
      <c r="K16" s="17">
        <f t="shared" si="4"/>
        <v>1.438068560223681E-2</v>
      </c>
      <c r="L16" s="17">
        <f t="shared" si="4"/>
        <v>4.8358806673084412E-2</v>
      </c>
    </row>
    <row r="18" spans="2:12" x14ac:dyDescent="0.3">
      <c r="B18" s="27" t="s">
        <v>64</v>
      </c>
      <c r="C18" s="28">
        <f>IFERROR(C12-C15,0)</f>
        <v>341.27999999999986</v>
      </c>
      <c r="D18" s="28">
        <f t="shared" ref="D18:L18" si="5">IFERROR(D12-D15,0)</f>
        <v>456.25999999999914</v>
      </c>
      <c r="E18" s="28">
        <f t="shared" si="5"/>
        <v>664.46000000000083</v>
      </c>
      <c r="F18" s="28">
        <f t="shared" si="5"/>
        <v>969.18000000000052</v>
      </c>
      <c r="G18" s="28">
        <f t="shared" si="5"/>
        <v>1352.8600000000006</v>
      </c>
      <c r="H18" s="28">
        <f t="shared" si="5"/>
        <v>1633.3100000000015</v>
      </c>
      <c r="I18" s="28">
        <f t="shared" si="5"/>
        <v>2128.3100000000004</v>
      </c>
      <c r="J18" s="28">
        <f t="shared" si="5"/>
        <v>1744.8299999999983</v>
      </c>
      <c r="K18" s="28">
        <f t="shared" si="5"/>
        <v>2502.3500000000013</v>
      </c>
      <c r="L18" s="28">
        <f t="shared" si="5"/>
        <v>3637.029999999997</v>
      </c>
    </row>
    <row r="19" spans="2:12" x14ac:dyDescent="0.3">
      <c r="B19" s="15" t="s">
        <v>65</v>
      </c>
      <c r="C19" s="17">
        <f>C18/C6</f>
        <v>7.2822246120755857E-2</v>
      </c>
      <c r="D19" s="17">
        <f t="shared" ref="D19:L19" si="6">D18/D6</f>
        <v>7.0854097334701854E-2</v>
      </c>
      <c r="E19" s="17">
        <f t="shared" si="6"/>
        <v>7.7408967631900333E-2</v>
      </c>
      <c r="F19" s="17">
        <f t="shared" si="6"/>
        <v>8.1459441740840702E-2</v>
      </c>
      <c r="G19" s="17">
        <f t="shared" si="6"/>
        <v>8.9991485512066663E-2</v>
      </c>
      <c r="H19" s="17">
        <f t="shared" si="6"/>
        <v>8.1647047767204689E-2</v>
      </c>
      <c r="I19" s="17">
        <f t="shared" si="6"/>
        <v>8.5576714300648976E-2</v>
      </c>
      <c r="J19" s="17">
        <f t="shared" si="6"/>
        <v>7.2270457845857075E-2</v>
      </c>
      <c r="K19" s="17">
        <f t="shared" si="6"/>
        <v>8.0782805676732586E-2</v>
      </c>
      <c r="L19" s="17">
        <f t="shared" si="6"/>
        <v>8.4898864507478536E-2</v>
      </c>
    </row>
    <row r="21" spans="2:12" x14ac:dyDescent="0.3">
      <c r="B21" s="8" t="s">
        <v>5</v>
      </c>
      <c r="C21" s="14">
        <f>IFERROR('Data Sheet'!B27,0)</f>
        <v>55.68</v>
      </c>
      <c r="D21" s="14">
        <f>IFERROR('Data Sheet'!C27,0)</f>
        <v>72.36</v>
      </c>
      <c r="E21" s="14">
        <f>IFERROR('Data Sheet'!D27,0)</f>
        <v>91.34</v>
      </c>
      <c r="F21" s="14">
        <f>IFERROR('Data Sheet'!E27,0)</f>
        <v>121.98</v>
      </c>
      <c r="G21" s="14">
        <f>IFERROR('Data Sheet'!F27,0)</f>
        <v>59.54</v>
      </c>
      <c r="H21" s="14">
        <f>IFERROR('Data Sheet'!G27,0)</f>
        <v>47.21</v>
      </c>
      <c r="I21" s="14">
        <f>IFERROR('Data Sheet'!H27,0)</f>
        <v>69.12</v>
      </c>
      <c r="J21" s="14">
        <f>IFERROR('Data Sheet'!I27,0)</f>
        <v>41.65</v>
      </c>
      <c r="K21" s="14">
        <f>IFERROR('Data Sheet'!J27,0)</f>
        <v>53.79</v>
      </c>
      <c r="L21" s="14">
        <f>IFERROR('Data Sheet'!K27,0)</f>
        <v>67.41</v>
      </c>
    </row>
    <row r="22" spans="2:12" x14ac:dyDescent="0.3">
      <c r="B22" s="15" t="s">
        <v>66</v>
      </c>
      <c r="C22" s="17">
        <f>C21/C6</f>
        <v>1.1880985302401803E-2</v>
      </c>
      <c r="D22" s="17">
        <f t="shared" ref="D22:L22" si="7">D21/D6</f>
        <v>1.1237019425632393E-2</v>
      </c>
      <c r="E22" s="17">
        <f t="shared" si="7"/>
        <v>1.0641024446163452E-2</v>
      </c>
      <c r="F22" s="17">
        <f t="shared" si="7"/>
        <v>1.0252401724703094E-2</v>
      </c>
      <c r="G22" s="17">
        <f t="shared" si="7"/>
        <v>3.9605672777585609E-3</v>
      </c>
      <c r="H22" s="17">
        <f t="shared" si="7"/>
        <v>2.3599666475376565E-3</v>
      </c>
      <c r="I22" s="17">
        <f t="shared" si="7"/>
        <v>2.7792297609186899E-3</v>
      </c>
      <c r="J22" s="17">
        <f t="shared" si="7"/>
        <v>1.7251334337900829E-3</v>
      </c>
      <c r="K22" s="17">
        <f t="shared" si="7"/>
        <v>1.7364905458274996E-3</v>
      </c>
      <c r="L22" s="17">
        <f t="shared" si="7"/>
        <v>1.5735455732972048E-3</v>
      </c>
    </row>
    <row r="24" spans="2:12" x14ac:dyDescent="0.3">
      <c r="B24" s="8" t="s">
        <v>4</v>
      </c>
      <c r="C24" s="14">
        <f>IFERROR('Data Sheet'!B26,0)</f>
        <v>57.01</v>
      </c>
      <c r="D24" s="14">
        <f>IFERROR('Data Sheet'!C26,0)</f>
        <v>81.540000000000006</v>
      </c>
      <c r="E24" s="14">
        <f>IFERROR('Data Sheet'!D26,0)</f>
        <v>98.43</v>
      </c>
      <c r="F24" s="14">
        <f>IFERROR('Data Sheet'!E26,0)</f>
        <v>127.82</v>
      </c>
      <c r="G24" s="14">
        <f>IFERROR('Data Sheet'!F26,0)</f>
        <v>159</v>
      </c>
      <c r="H24" s="14">
        <f>IFERROR('Data Sheet'!G26,0)</f>
        <v>212.49</v>
      </c>
      <c r="I24" s="14">
        <f>IFERROR('Data Sheet'!H26,0)</f>
        <v>374.41</v>
      </c>
      <c r="J24" s="14">
        <f>IFERROR('Data Sheet'!I26,0)</f>
        <v>414.16</v>
      </c>
      <c r="K24" s="14">
        <f>IFERROR('Data Sheet'!J26,0)</f>
        <v>498.08</v>
      </c>
      <c r="L24" s="14">
        <f>IFERROR('Data Sheet'!K26,0)</f>
        <v>638.87</v>
      </c>
    </row>
    <row r="25" spans="2:12" x14ac:dyDescent="0.3">
      <c r="B25" s="15" t="s">
        <v>67</v>
      </c>
      <c r="C25" s="17">
        <f>C24/C6</f>
        <v>1.2164780389546099E-2</v>
      </c>
      <c r="D25" s="17">
        <f t="shared" ref="D25:L25" si="8">D24/D6</f>
        <v>1.26626114423171E-2</v>
      </c>
      <c r="E25" s="17">
        <f t="shared" si="8"/>
        <v>1.1467002805297445E-2</v>
      </c>
      <c r="F25" s="17">
        <f t="shared" si="8"/>
        <v>1.0743252897618866E-2</v>
      </c>
      <c r="G25" s="17">
        <f t="shared" si="8"/>
        <v>1.0576590479738178E-2</v>
      </c>
      <c r="H25" s="17">
        <f t="shared" si="8"/>
        <v>1.062209940553435E-2</v>
      </c>
      <c r="I25" s="17">
        <f t="shared" si="8"/>
        <v>1.5054563292615258E-2</v>
      </c>
      <c r="J25" s="17">
        <f t="shared" si="8"/>
        <v>1.7154412075354161E-2</v>
      </c>
      <c r="K25" s="17">
        <f t="shared" si="8"/>
        <v>1.6079405299605148E-2</v>
      </c>
      <c r="L25" s="17">
        <f t="shared" si="8"/>
        <v>1.4913085008342757E-2</v>
      </c>
    </row>
    <row r="27" spans="2:12" x14ac:dyDescent="0.3">
      <c r="B27" s="27" t="s">
        <v>68</v>
      </c>
      <c r="C27" s="28">
        <f>IFERROR(C18-SUM(C21+C24),0)</f>
        <v>228.58999999999986</v>
      </c>
      <c r="D27" s="28">
        <f t="shared" ref="D27:L27" si="9">IFERROR(D18-SUM(D21+D24),0)</f>
        <v>302.3599999999991</v>
      </c>
      <c r="E27" s="28">
        <f t="shared" si="9"/>
        <v>474.69000000000085</v>
      </c>
      <c r="F27" s="28">
        <f t="shared" si="9"/>
        <v>719.38000000000056</v>
      </c>
      <c r="G27" s="28">
        <f t="shared" si="9"/>
        <v>1134.3200000000006</v>
      </c>
      <c r="H27" s="29">
        <f t="shared" si="9"/>
        <v>1373.6100000000015</v>
      </c>
      <c r="I27" s="29">
        <f t="shared" si="9"/>
        <v>1684.7800000000004</v>
      </c>
      <c r="J27" s="28">
        <f t="shared" si="9"/>
        <v>1289.0199999999984</v>
      </c>
      <c r="K27" s="29">
        <f t="shared" si="9"/>
        <v>1950.4800000000014</v>
      </c>
      <c r="L27" s="29">
        <f t="shared" si="9"/>
        <v>2930.7499999999973</v>
      </c>
    </row>
    <row r="28" spans="2:12" x14ac:dyDescent="0.3">
      <c r="B28" s="15" t="s">
        <v>69</v>
      </c>
      <c r="C28" s="17">
        <f>C27/C6</f>
        <v>4.8776480428807951E-2</v>
      </c>
      <c r="D28" s="17">
        <f t="shared" ref="D28:L28" si="10">D27/D6</f>
        <v>4.6954466466752352E-2</v>
      </c>
      <c r="E28" s="17">
        <f t="shared" si="10"/>
        <v>5.5300940380439437E-2</v>
      </c>
      <c r="F28" s="17">
        <f t="shared" si="10"/>
        <v>6.0463787118518748E-2</v>
      </c>
      <c r="G28" s="17">
        <f t="shared" si="10"/>
        <v>7.5454327754569922E-2</v>
      </c>
      <c r="H28" s="17">
        <f t="shared" si="10"/>
        <v>6.8664981714132683E-2</v>
      </c>
      <c r="I28" s="17">
        <f t="shared" si="10"/>
        <v>6.7742921247115034E-2</v>
      </c>
      <c r="J28" s="17">
        <f t="shared" si="10"/>
        <v>5.3390912336712844E-2</v>
      </c>
      <c r="K28" s="17">
        <f t="shared" si="10"/>
        <v>6.2966909831299933E-2</v>
      </c>
      <c r="L28" s="17">
        <f t="shared" si="10"/>
        <v>6.8412233925838575E-2</v>
      </c>
    </row>
    <row r="30" spans="2:12" x14ac:dyDescent="0.3">
      <c r="B30" s="8" t="s">
        <v>7</v>
      </c>
      <c r="C30" s="14">
        <f>IFERROR('Data Sheet'!B29,0)</f>
        <v>83.48</v>
      </c>
      <c r="D30" s="14">
        <f>IFERROR('Data Sheet'!C29,0)</f>
        <v>110.92</v>
      </c>
      <c r="E30" s="14">
        <f>IFERROR('Data Sheet'!D29,0)</f>
        <v>171.47</v>
      </c>
      <c r="F30" s="14">
        <f>IFERROR('Data Sheet'!E29,0)</f>
        <v>268.27999999999997</v>
      </c>
      <c r="G30" s="14">
        <f>IFERROR('Data Sheet'!F29,0)</f>
        <v>415.79</v>
      </c>
      <c r="H30" s="18">
        <f>IFERROR('Data Sheet'!G29,0)</f>
        <v>519.48</v>
      </c>
      <c r="I30" s="14">
        <f>IFERROR('Data Sheet'!H29,0)</f>
        <v>443.79</v>
      </c>
      <c r="J30" s="14">
        <f>IFERROR('Data Sheet'!I29,0)</f>
        <v>384.02</v>
      </c>
      <c r="K30" s="14">
        <f>IFERROR('Data Sheet'!J29,0)</f>
        <v>571.72</v>
      </c>
      <c r="L30" s="14">
        <f>IFERROR('Data Sheet'!K29,0)</f>
        <v>681.75</v>
      </c>
    </row>
    <row r="31" spans="2:12" x14ac:dyDescent="0.3">
      <c r="B31" s="15" t="s">
        <v>70</v>
      </c>
      <c r="C31" s="17">
        <f>C30/C27</f>
        <v>0.36519532787961001</v>
      </c>
      <c r="D31" s="17">
        <f t="shared" ref="D31:L31" si="11">D30/D27</f>
        <v>0.36684746659611167</v>
      </c>
      <c r="E31" s="17">
        <f t="shared" si="11"/>
        <v>0.36122522067033158</v>
      </c>
      <c r="F31" s="17">
        <f t="shared" si="11"/>
        <v>0.37293224721287743</v>
      </c>
      <c r="G31" s="17">
        <f t="shared" si="11"/>
        <v>0.36655441145355788</v>
      </c>
      <c r="H31" s="17">
        <f t="shared" si="11"/>
        <v>0.37818594797649946</v>
      </c>
      <c r="I31" s="17">
        <f t="shared" si="11"/>
        <v>0.26341124657225268</v>
      </c>
      <c r="J31" s="17">
        <f t="shared" si="11"/>
        <v>0.29791624645079245</v>
      </c>
      <c r="K31" s="17">
        <f t="shared" si="11"/>
        <v>0.29311759156720379</v>
      </c>
      <c r="L31" s="17">
        <f t="shared" si="11"/>
        <v>0.232619636611789</v>
      </c>
    </row>
    <row r="33" spans="1:12" x14ac:dyDescent="0.3">
      <c r="B33" s="27" t="s">
        <v>71</v>
      </c>
      <c r="C33" s="28">
        <f>IFERROR(C27-C30,0)</f>
        <v>145.10999999999984</v>
      </c>
      <c r="D33" s="28">
        <f t="shared" ref="D33:L33" si="12">IFERROR(D27-D30,0)</f>
        <v>191.43999999999909</v>
      </c>
      <c r="E33" s="28">
        <f t="shared" si="12"/>
        <v>303.22000000000082</v>
      </c>
      <c r="F33" s="28">
        <f t="shared" si="12"/>
        <v>451.10000000000059</v>
      </c>
      <c r="G33" s="28">
        <f t="shared" si="12"/>
        <v>718.53000000000065</v>
      </c>
      <c r="H33" s="29">
        <f t="shared" si="12"/>
        <v>854.13000000000147</v>
      </c>
      <c r="I33" s="29">
        <f t="shared" si="12"/>
        <v>1240.9900000000005</v>
      </c>
      <c r="J33" s="29">
        <f t="shared" si="12"/>
        <v>904.99999999999841</v>
      </c>
      <c r="K33" s="29">
        <f t="shared" si="12"/>
        <v>1378.7600000000014</v>
      </c>
      <c r="L33" s="29">
        <f t="shared" si="12"/>
        <v>2248.9999999999973</v>
      </c>
    </row>
    <row r="34" spans="1:12" x14ac:dyDescent="0.3">
      <c r="B34" s="15" t="s">
        <v>72</v>
      </c>
      <c r="C34" s="17">
        <f>C33/C6</f>
        <v>3.0963537665796046E-2</v>
      </c>
      <c r="D34" s="17">
        <f t="shared" ref="D34:L34" si="13">D33/D6</f>
        <v>2.9729339398052168E-2</v>
      </c>
      <c r="E34" s="17">
        <f t="shared" si="13"/>
        <v>3.5324845988238353E-2</v>
      </c>
      <c r="F34" s="17">
        <f t="shared" si="13"/>
        <v>3.7914891113408518E-2</v>
      </c>
      <c r="G34" s="17">
        <f t="shared" si="13"/>
        <v>4.7796211052869693E-2</v>
      </c>
      <c r="H34" s="17">
        <f t="shared" si="13"/>
        <v>4.2696850511784408E-2</v>
      </c>
      <c r="I34" s="17">
        <f t="shared" si="13"/>
        <v>4.9898673914966524E-2</v>
      </c>
      <c r="J34" s="17">
        <f t="shared" si="13"/>
        <v>3.7484892138776045E-2</v>
      </c>
      <c r="K34" s="17">
        <f t="shared" si="13"/>
        <v>4.4510200873120014E-2</v>
      </c>
      <c r="L34" s="17">
        <f t="shared" si="13"/>
        <v>5.2498204930209305E-2</v>
      </c>
    </row>
    <row r="36" spans="1:12" x14ac:dyDescent="0.3">
      <c r="B36" s="8" t="s">
        <v>74</v>
      </c>
      <c r="C36" s="13">
        <f>IFERROR('Data Sheet'!B93,0)</f>
        <v>54.68</v>
      </c>
      <c r="D36" s="13">
        <f>IFERROR('Data Sheet'!C93,0)</f>
        <v>56.15</v>
      </c>
      <c r="E36" s="13">
        <f>IFERROR('Data Sheet'!D93,0)</f>
        <v>56.15</v>
      </c>
      <c r="F36" s="13">
        <f>IFERROR('Data Sheet'!E93,0)</f>
        <v>62.41</v>
      </c>
      <c r="G36" s="13">
        <f>IFERROR('Data Sheet'!F93,0)</f>
        <v>62.41</v>
      </c>
      <c r="H36" s="13">
        <f>IFERROR('Data Sheet'!G93,0)</f>
        <v>62.41</v>
      </c>
      <c r="I36" s="13">
        <f>IFERROR('Data Sheet'!H93,0)</f>
        <v>64.78</v>
      </c>
      <c r="J36" s="13">
        <f>IFERROR('Data Sheet'!I93,0)</f>
        <v>64.78</v>
      </c>
      <c r="K36" s="13">
        <f>IFERROR('Data Sheet'!J93,0)</f>
        <v>64.78</v>
      </c>
      <c r="L36" s="13">
        <f>IFERROR('Data Sheet'!K93,0)</f>
        <v>64.83</v>
      </c>
    </row>
    <row r="38" spans="1:12" x14ac:dyDescent="0.3">
      <c r="B38" s="37" t="s">
        <v>75</v>
      </c>
      <c r="C38" s="38">
        <f>C33/C36</f>
        <v>2.6538039502560324</v>
      </c>
      <c r="D38" s="38">
        <f t="shared" ref="D38:L38" si="14">D33/D36</f>
        <v>3.4094390026713999</v>
      </c>
      <c r="E38" s="38">
        <f t="shared" si="14"/>
        <v>5.4001780943900419</v>
      </c>
      <c r="F38" s="38">
        <f t="shared" si="14"/>
        <v>7.2280083319980868</v>
      </c>
      <c r="G38" s="38">
        <f t="shared" si="14"/>
        <v>11.513058804678748</v>
      </c>
      <c r="H38" s="39">
        <f t="shared" si="14"/>
        <v>13.685787534049055</v>
      </c>
      <c r="I38" s="39">
        <f t="shared" si="14"/>
        <v>19.156992899042923</v>
      </c>
      <c r="J38" s="39">
        <f t="shared" si="14"/>
        <v>13.970361222599543</v>
      </c>
      <c r="K38" s="39">
        <f t="shared" si="14"/>
        <v>21.283729546156241</v>
      </c>
      <c r="L38" s="39">
        <f t="shared" si="14"/>
        <v>34.690729600493555</v>
      </c>
    </row>
    <row r="39" spans="1:12" x14ac:dyDescent="0.3">
      <c r="B39" s="25" t="s">
        <v>76</v>
      </c>
      <c r="C39" s="31" t="s">
        <v>73</v>
      </c>
      <c r="D39" s="32">
        <f>D38/C38-1</f>
        <v>0.28473657684565046</v>
      </c>
      <c r="E39" s="32">
        <f t="shared" ref="E39:L39" si="15">E38/D38-1</f>
        <v>0.58389051399917613</v>
      </c>
      <c r="F39" s="32">
        <f t="shared" si="15"/>
        <v>0.33847591795294307</v>
      </c>
      <c r="G39" s="32">
        <f t="shared" si="15"/>
        <v>0.5928397251163815</v>
      </c>
      <c r="H39" s="32">
        <f t="shared" si="15"/>
        <v>0.18871863387750087</v>
      </c>
      <c r="I39" s="32">
        <f t="shared" si="15"/>
        <v>0.39977278263176164</v>
      </c>
      <c r="J39" s="32">
        <f t="shared" si="15"/>
        <v>-0.27074351928702245</v>
      </c>
      <c r="K39" s="32">
        <f t="shared" si="15"/>
        <v>0.52349171270718653</v>
      </c>
      <c r="L39" s="32">
        <f t="shared" si="15"/>
        <v>0.6299177982534816</v>
      </c>
    </row>
    <row r="41" spans="1:12" x14ac:dyDescent="0.3">
      <c r="B41" s="8" t="s">
        <v>77</v>
      </c>
      <c r="C41" s="19">
        <f>IFERROR('Data Sheet'!B31/C36,0)</f>
        <v>0</v>
      </c>
      <c r="D41" s="19">
        <f>IFERROR('Data Sheet'!C31/D36,0)</f>
        <v>0</v>
      </c>
      <c r="E41" s="19">
        <f>IFERROR('Data Sheet'!D31/E36,0)</f>
        <v>0</v>
      </c>
      <c r="F41" s="19">
        <f>IFERROR('Data Sheet'!E31/F36,0)</f>
        <v>0</v>
      </c>
      <c r="G41" s="19">
        <f>IFERROR('Data Sheet'!F31/G36,0)</f>
        <v>0</v>
      </c>
      <c r="H41" s="19">
        <f>IFERROR('Data Sheet'!G31/H36,0)</f>
        <v>0</v>
      </c>
      <c r="I41" s="19">
        <f>IFERROR('Data Sheet'!H31/I36,0)</f>
        <v>0</v>
      </c>
      <c r="J41" s="19">
        <f>IFERROR('Data Sheet'!I31/J36,0)</f>
        <v>0</v>
      </c>
      <c r="K41" s="19">
        <f>IFERROR('Data Sheet'!J31/K36,0)</f>
        <v>0</v>
      </c>
      <c r="L41" s="19">
        <f>IFERROR('Data Sheet'!K31/L36,0)</f>
        <v>0</v>
      </c>
    </row>
    <row r="42" spans="1:12" x14ac:dyDescent="0.3">
      <c r="B42" s="8" t="s">
        <v>78</v>
      </c>
      <c r="C42" s="16">
        <f>C41/C38</f>
        <v>0</v>
      </c>
      <c r="D42" s="17">
        <f t="shared" ref="D42:L42" si="16">D41/D38</f>
        <v>0</v>
      </c>
      <c r="E42" s="17">
        <f t="shared" si="16"/>
        <v>0</v>
      </c>
      <c r="F42" s="17">
        <f t="shared" si="16"/>
        <v>0</v>
      </c>
      <c r="G42" s="17">
        <f t="shared" si="16"/>
        <v>0</v>
      </c>
      <c r="H42" s="17">
        <f t="shared" si="16"/>
        <v>0</v>
      </c>
      <c r="I42" s="17">
        <f t="shared" si="16"/>
        <v>0</v>
      </c>
      <c r="J42" s="17">
        <f t="shared" si="16"/>
        <v>0</v>
      </c>
      <c r="K42" s="17">
        <f t="shared" si="16"/>
        <v>0</v>
      </c>
      <c r="L42" s="17">
        <f t="shared" si="16"/>
        <v>0</v>
      </c>
    </row>
    <row r="44" spans="1:12" ht="15" thickBot="1" x14ac:dyDescent="0.35">
      <c r="B44" s="35" t="s">
        <v>79</v>
      </c>
      <c r="C44" s="36">
        <f>IFERROR(IF(C38&gt;C41,1-C42,0),0)</f>
        <v>1</v>
      </c>
      <c r="D44" s="36">
        <f t="shared" ref="D44:L44" si="17">IFERROR(IF(D38&gt;D41,1-D42,0),0)</f>
        <v>1</v>
      </c>
      <c r="E44" s="36">
        <f t="shared" si="17"/>
        <v>1</v>
      </c>
      <c r="F44" s="36">
        <f t="shared" si="17"/>
        <v>1</v>
      </c>
      <c r="G44" s="36">
        <f t="shared" si="17"/>
        <v>1</v>
      </c>
      <c r="H44" s="36">
        <f t="shared" si="17"/>
        <v>1</v>
      </c>
      <c r="I44" s="36">
        <f t="shared" si="17"/>
        <v>1</v>
      </c>
      <c r="J44" s="36">
        <f t="shared" si="17"/>
        <v>1</v>
      </c>
      <c r="K44" s="36">
        <f t="shared" si="17"/>
        <v>1</v>
      </c>
      <c r="L44" s="36">
        <f t="shared" si="17"/>
        <v>1</v>
      </c>
    </row>
    <row r="45" spans="1:12" ht="15" thickTop="1" x14ac:dyDescent="0.3"/>
    <row r="46" spans="1:12" x14ac:dyDescent="0.3">
      <c r="A46" t="s">
        <v>56</v>
      </c>
      <c r="B46" s="73" t="s">
        <v>80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</row>
    <row r="47" spans="1:12" x14ac:dyDescent="0.3">
      <c r="B47" s="4" t="s">
        <v>10</v>
      </c>
      <c r="C47" s="14">
        <f>IFERROR('Data Sheet'!B57,0)</f>
        <v>546.75</v>
      </c>
      <c r="D47" s="14">
        <f>IFERROR('Data Sheet'!C57,0)</f>
        <v>561.54</v>
      </c>
      <c r="E47" s="14">
        <f>IFERROR('Data Sheet'!D57,0)</f>
        <v>561.54</v>
      </c>
      <c r="F47" s="14">
        <f>IFERROR('Data Sheet'!E57,0)</f>
        <v>624.08000000000004</v>
      </c>
      <c r="G47" s="14">
        <f>IFERROR('Data Sheet'!F57,0)</f>
        <v>624.08000000000004</v>
      </c>
      <c r="H47" s="14">
        <f>IFERROR('Data Sheet'!G57,0)</f>
        <v>624.08000000000004</v>
      </c>
      <c r="I47" s="14">
        <f>IFERROR('Data Sheet'!H57,0)</f>
        <v>647.77</v>
      </c>
      <c r="J47" s="14">
        <f>IFERROR('Data Sheet'!I57,0)</f>
        <v>647.77</v>
      </c>
      <c r="K47" s="14">
        <f>IFERROR('Data Sheet'!J57,0)</f>
        <v>647.77</v>
      </c>
      <c r="L47" s="14">
        <f>IFERROR('Data Sheet'!K57,0)</f>
        <v>648.26</v>
      </c>
    </row>
    <row r="48" spans="1:12" x14ac:dyDescent="0.3">
      <c r="B48" s="4" t="s">
        <v>11</v>
      </c>
      <c r="C48" s="14">
        <f>IFERROR('Data Sheet'!B58,0)</f>
        <v>408.82</v>
      </c>
      <c r="D48" s="14">
        <f>IFERROR('Data Sheet'!C58,0)</f>
        <v>637.65</v>
      </c>
      <c r="E48" s="14">
        <f>IFERROR('Data Sheet'!D58,0)</f>
        <v>958.9</v>
      </c>
      <c r="F48" s="14">
        <f>IFERROR('Data Sheet'!E58,0)</f>
        <v>3217.7</v>
      </c>
      <c r="G48" s="14">
        <f>IFERROR('Data Sheet'!F58,0)</f>
        <v>4044.97</v>
      </c>
      <c r="H48" s="14">
        <f>IFERROR('Data Sheet'!G58,0)</f>
        <v>4963.37</v>
      </c>
      <c r="I48" s="14">
        <f>IFERROR('Data Sheet'!H58,0)</f>
        <v>10431.969999999999</v>
      </c>
      <c r="J48" s="14">
        <f>IFERROR('Data Sheet'!I58,0)</f>
        <v>11535.94</v>
      </c>
      <c r="K48" s="14">
        <f>IFERROR('Data Sheet'!J58,0)</f>
        <v>13029.87</v>
      </c>
      <c r="L48" s="14">
        <f>IFERROR('Data Sheet'!K58,0)</f>
        <v>15430.44</v>
      </c>
    </row>
    <row r="49" spans="2:12" x14ac:dyDescent="0.3">
      <c r="B49" s="4" t="s">
        <v>35</v>
      </c>
      <c r="C49" s="14">
        <f>IFERROR('Data Sheet'!B59,0)</f>
        <v>640.82000000000005</v>
      </c>
      <c r="D49" s="14">
        <f>IFERROR('Data Sheet'!C59,0)</f>
        <v>904.26</v>
      </c>
      <c r="E49" s="14">
        <f>IFERROR('Data Sheet'!D59,0)</f>
        <v>1192.3399999999999</v>
      </c>
      <c r="F49" s="14">
        <f>IFERROR('Data Sheet'!E59,0)</f>
        <v>1497.32</v>
      </c>
      <c r="G49" s="14">
        <f>IFERROR('Data Sheet'!F59,0)</f>
        <v>439.25</v>
      </c>
      <c r="H49" s="14">
        <f>IFERROR('Data Sheet'!G59,0)</f>
        <v>700.15</v>
      </c>
      <c r="I49" s="14">
        <f>IFERROR('Data Sheet'!H59,0)</f>
        <v>333.19</v>
      </c>
      <c r="J49" s="14">
        <f>IFERROR('Data Sheet'!I59,0)</f>
        <v>392.71</v>
      </c>
      <c r="K49" s="14">
        <f>IFERROR('Data Sheet'!J59,0)</f>
        <v>646.94000000000005</v>
      </c>
      <c r="L49" s="14">
        <f>IFERROR('Data Sheet'!K59,0)</f>
        <v>642.98</v>
      </c>
    </row>
    <row r="50" spans="2:12" x14ac:dyDescent="0.3">
      <c r="B50" s="4" t="s">
        <v>36</v>
      </c>
      <c r="C50" s="14">
        <f>IFERROR('Data Sheet'!B60,0)</f>
        <v>211.26</v>
      </c>
      <c r="D50" s="14">
        <f>IFERROR('Data Sheet'!C60,0)</f>
        <v>251.36</v>
      </c>
      <c r="E50" s="14">
        <f>IFERROR('Data Sheet'!D60,0)</f>
        <v>388.78</v>
      </c>
      <c r="F50" s="14">
        <f>IFERROR('Data Sheet'!E60,0)</f>
        <v>480.18</v>
      </c>
      <c r="G50" s="14">
        <f>IFERROR('Data Sheet'!F60,0)</f>
        <v>539.91999999999996</v>
      </c>
      <c r="H50" s="14">
        <f>IFERROR('Data Sheet'!G60,0)</f>
        <v>717.9</v>
      </c>
      <c r="I50" s="14">
        <f>IFERROR('Data Sheet'!H60,0)</f>
        <v>663.23</v>
      </c>
      <c r="J50" s="14">
        <f>IFERROR('Data Sheet'!I60,0)</f>
        <v>1078.6300000000001</v>
      </c>
      <c r="K50" s="14">
        <f>IFERROR('Data Sheet'!J60,0)</f>
        <v>1146.4000000000001</v>
      </c>
      <c r="L50" s="14">
        <f>IFERROR('Data Sheet'!K60,0)</f>
        <v>1384.61</v>
      </c>
    </row>
    <row r="51" spans="2:12" x14ac:dyDescent="0.3">
      <c r="B51" s="30" t="s">
        <v>83</v>
      </c>
      <c r="C51" s="28">
        <f>SUM(C47:C50)</f>
        <v>1807.6499999999999</v>
      </c>
      <c r="D51" s="28">
        <f t="shared" ref="D51:L51" si="18">SUM(D47:D50)</f>
        <v>2354.81</v>
      </c>
      <c r="E51" s="28">
        <f t="shared" si="18"/>
        <v>3101.5599999999995</v>
      </c>
      <c r="F51" s="28">
        <f t="shared" si="18"/>
        <v>5819.28</v>
      </c>
      <c r="G51" s="28">
        <f t="shared" si="18"/>
        <v>5648.22</v>
      </c>
      <c r="H51" s="28">
        <f t="shared" si="18"/>
        <v>7005.4999999999991</v>
      </c>
      <c r="I51" s="28">
        <f t="shared" si="18"/>
        <v>12076.16</v>
      </c>
      <c r="J51" s="28">
        <f t="shared" si="18"/>
        <v>13655.05</v>
      </c>
      <c r="K51" s="28">
        <f t="shared" si="18"/>
        <v>15470.980000000001</v>
      </c>
      <c r="L51" s="28">
        <f t="shared" si="18"/>
        <v>18106.29</v>
      </c>
    </row>
    <row r="53" spans="2:12" x14ac:dyDescent="0.3">
      <c r="B53" s="4" t="s">
        <v>85</v>
      </c>
      <c r="C53" s="14">
        <f>IFERROR('Data Sheet'!B62,0)</f>
        <v>1171.69</v>
      </c>
      <c r="D53" s="14">
        <f>IFERROR('Data Sheet'!C62,0)</f>
        <v>1528.08</v>
      </c>
      <c r="E53" s="14">
        <f>IFERROR('Data Sheet'!D62,0)</f>
        <v>2093.52</v>
      </c>
      <c r="F53" s="14">
        <f>IFERROR('Data Sheet'!E62,0)</f>
        <v>2577.75</v>
      </c>
      <c r="G53" s="14">
        <f>IFERROR('Data Sheet'!F62,0)</f>
        <v>3399.97</v>
      </c>
      <c r="H53" s="14">
        <f>IFERROR('Data Sheet'!G62,0)</f>
        <v>4400.37</v>
      </c>
      <c r="I53" s="14">
        <f>IFERROR('Data Sheet'!H62,0)</f>
        <v>5948.03</v>
      </c>
      <c r="J53" s="14">
        <f>IFERROR('Data Sheet'!I62,0)</f>
        <v>7008.8</v>
      </c>
      <c r="K53" s="14">
        <f>IFERROR('Data Sheet'!J62,0)</f>
        <v>9260.02</v>
      </c>
      <c r="L53" s="14">
        <f>IFERROR('Data Sheet'!K62,0)</f>
        <v>11340.48</v>
      </c>
    </row>
    <row r="54" spans="2:12" x14ac:dyDescent="0.3">
      <c r="B54" s="4" t="s">
        <v>14</v>
      </c>
      <c r="C54" s="14">
        <f>IFERROR('Data Sheet'!B63,0)</f>
        <v>88.78</v>
      </c>
      <c r="D54" s="14">
        <f>IFERROR('Data Sheet'!C63,0)</f>
        <v>98.12</v>
      </c>
      <c r="E54" s="14">
        <f>IFERROR('Data Sheet'!D63,0)</f>
        <v>81.69</v>
      </c>
      <c r="F54" s="14">
        <f>IFERROR('Data Sheet'!E63,0)</f>
        <v>152.88999999999999</v>
      </c>
      <c r="G54" s="14">
        <f>IFERROR('Data Sheet'!F63,0)</f>
        <v>147.07</v>
      </c>
      <c r="H54" s="14">
        <f>IFERROR('Data Sheet'!G63,0)</f>
        <v>376.84</v>
      </c>
      <c r="I54" s="14">
        <f>IFERROR('Data Sheet'!H63,0)</f>
        <v>364.4</v>
      </c>
      <c r="J54" s="14">
        <f>IFERROR('Data Sheet'!I63,0)</f>
        <v>1019.59</v>
      </c>
      <c r="K54" s="14">
        <f>IFERROR('Data Sheet'!J63,0)</f>
        <v>1129.3399999999999</v>
      </c>
      <c r="L54" s="14">
        <f>IFERROR('Data Sheet'!K63,0)</f>
        <v>829.16</v>
      </c>
    </row>
    <row r="55" spans="2:12" x14ac:dyDescent="0.3">
      <c r="B55" s="4" t="s">
        <v>15</v>
      </c>
      <c r="C55" s="14">
        <f>IFERROR('Data Sheet'!B64,0)</f>
        <v>15.54</v>
      </c>
      <c r="D55" s="14">
        <f>IFERROR('Data Sheet'!C64,0)</f>
        <v>15.23</v>
      </c>
      <c r="E55" s="14">
        <f>IFERROR('Data Sheet'!D64,0)</f>
        <v>29.33</v>
      </c>
      <c r="F55" s="14">
        <f>IFERROR('Data Sheet'!E64,0)</f>
        <v>25.69</v>
      </c>
      <c r="G55" s="14">
        <f>IFERROR('Data Sheet'!F64,0)</f>
        <v>68.180000000000007</v>
      </c>
      <c r="H55" s="14">
        <f>IFERROR('Data Sheet'!G64,0)</f>
        <v>16.53</v>
      </c>
      <c r="I55" s="14">
        <f>IFERROR('Data Sheet'!H64,0)</f>
        <v>14.68</v>
      </c>
      <c r="J55" s="14">
        <f>IFERROR('Data Sheet'!I64,0)</f>
        <v>2.95</v>
      </c>
      <c r="K55" s="14">
        <f>IFERROR('Data Sheet'!J64,0)</f>
        <v>5.94</v>
      </c>
      <c r="L55" s="14">
        <f>IFERROR('Data Sheet'!K64,0)</f>
        <v>202.2</v>
      </c>
    </row>
    <row r="56" spans="2:12" x14ac:dyDescent="0.3">
      <c r="B56" s="4" t="s">
        <v>37</v>
      </c>
      <c r="C56" s="14">
        <f>IFERROR('Data Sheet'!B65-SUM('Data Sheet'!B67:B69),0)</f>
        <v>88.360000000000014</v>
      </c>
      <c r="D56" s="14">
        <f>IFERROR('Data Sheet'!C65-SUM('Data Sheet'!C67:C69),0)</f>
        <v>128.65999999999997</v>
      </c>
      <c r="E56" s="14">
        <f>IFERROR('Data Sheet'!D65-SUM('Data Sheet'!D67:D69),0)</f>
        <v>181.80999999999995</v>
      </c>
      <c r="F56" s="14">
        <f>IFERROR('Data Sheet'!E65-SUM('Data Sheet'!E67:E69),0)</f>
        <v>209.75999999999976</v>
      </c>
      <c r="G56" s="14">
        <f>IFERROR('Data Sheet'!F65-SUM('Data Sheet'!F67:F69),0)</f>
        <v>275.84999999999991</v>
      </c>
      <c r="H56" s="14">
        <f>IFERROR('Data Sheet'!G65-SUM('Data Sheet'!G67:G69),0)</f>
        <v>319.6700000000003</v>
      </c>
      <c r="I56" s="14">
        <f>IFERROR('Data Sheet'!H65-SUM('Data Sheet'!H67:H69),0)</f>
        <v>3674.2200000000003</v>
      </c>
      <c r="J56" s="14">
        <f>IFERROR('Data Sheet'!I65-SUM('Data Sheet'!I67:I69),0)</f>
        <v>1886.27</v>
      </c>
      <c r="K56" s="14">
        <f>IFERROR('Data Sheet'!J65-SUM('Data Sheet'!J67:J69),0)</f>
        <v>1967.5500000000006</v>
      </c>
      <c r="L56" s="14">
        <f>IFERROR('Data Sheet'!K65-SUM('Data Sheet'!K67:K69),0)</f>
        <v>1020.4800000000005</v>
      </c>
    </row>
    <row r="57" spans="2:12" x14ac:dyDescent="0.3">
      <c r="B57" s="30" t="s">
        <v>82</v>
      </c>
      <c r="C57" s="28">
        <f>SUM(C53:C56)</f>
        <v>1364.37</v>
      </c>
      <c r="D57" s="28">
        <f t="shared" ref="D57:L57" si="19">SUM(D53:D56)</f>
        <v>1770.0899999999997</v>
      </c>
      <c r="E57" s="28">
        <f t="shared" si="19"/>
        <v>2386.35</v>
      </c>
      <c r="F57" s="28">
        <f t="shared" si="19"/>
        <v>2966.0899999999997</v>
      </c>
      <c r="G57" s="28">
        <f t="shared" si="19"/>
        <v>3891.0699999999997</v>
      </c>
      <c r="H57" s="28">
        <f t="shared" si="19"/>
        <v>5113.41</v>
      </c>
      <c r="I57" s="28">
        <f t="shared" si="19"/>
        <v>10001.33</v>
      </c>
      <c r="J57" s="28">
        <f t="shared" si="19"/>
        <v>9917.61</v>
      </c>
      <c r="K57" s="28">
        <f t="shared" si="19"/>
        <v>12362.850000000002</v>
      </c>
      <c r="L57" s="28">
        <f t="shared" si="19"/>
        <v>13392.32</v>
      </c>
    </row>
    <row r="59" spans="2:12" x14ac:dyDescent="0.3">
      <c r="B59" s="4" t="s">
        <v>42</v>
      </c>
      <c r="C59" s="14">
        <f>IFERROR('Data Sheet'!B67,0)</f>
        <v>9.5399999999999991</v>
      </c>
      <c r="D59" s="14">
        <f>IFERROR('Data Sheet'!C67,0)</f>
        <v>7.07</v>
      </c>
      <c r="E59" s="14">
        <f>IFERROR('Data Sheet'!D67,0)</f>
        <v>8.42</v>
      </c>
      <c r="F59" s="14">
        <f>IFERROR('Data Sheet'!E67,0)</f>
        <v>21</v>
      </c>
      <c r="G59" s="14">
        <f>IFERROR('Data Sheet'!F67,0)</f>
        <v>33.520000000000003</v>
      </c>
      <c r="H59" s="14">
        <f>IFERROR('Data Sheet'!G67,0)</f>
        <v>64.37</v>
      </c>
      <c r="I59" s="14">
        <f>IFERROR('Data Sheet'!H67,0)</f>
        <v>19.55</v>
      </c>
      <c r="J59" s="14">
        <f>IFERROR('Data Sheet'!I67,0)</f>
        <v>43.58</v>
      </c>
      <c r="K59" s="14">
        <f>IFERROR('Data Sheet'!J67,0)</f>
        <v>66.89</v>
      </c>
      <c r="L59" s="14">
        <f>IFERROR('Data Sheet'!K67,0)</f>
        <v>62.16</v>
      </c>
    </row>
    <row r="60" spans="2:12" x14ac:dyDescent="0.3">
      <c r="B60" s="4" t="s">
        <v>29</v>
      </c>
      <c r="C60" s="14">
        <f>IFERROR('Data Sheet'!B68,0)</f>
        <v>378.33</v>
      </c>
      <c r="D60" s="14">
        <f>IFERROR('Data Sheet'!C68,0)</f>
        <v>539.61</v>
      </c>
      <c r="E60" s="14">
        <f>IFERROR('Data Sheet'!D68,0)</f>
        <v>671.69</v>
      </c>
      <c r="F60" s="14">
        <f>IFERROR('Data Sheet'!E68,0)</f>
        <v>947.9</v>
      </c>
      <c r="G60" s="14">
        <f>IFERROR('Data Sheet'!F68,0)</f>
        <v>1163.45</v>
      </c>
      <c r="H60" s="14">
        <f>IFERROR('Data Sheet'!G68,0)</f>
        <v>1608.65</v>
      </c>
      <c r="I60" s="14">
        <f>IFERROR('Data Sheet'!H68,0)</f>
        <v>1947.4</v>
      </c>
      <c r="J60" s="14">
        <f>IFERROR('Data Sheet'!I68,0)</f>
        <v>2248.2800000000002</v>
      </c>
      <c r="K60" s="14">
        <f>IFERROR('Data Sheet'!J68,0)</f>
        <v>2742.66</v>
      </c>
      <c r="L60" s="14">
        <f>IFERROR('Data Sheet'!K68,0)</f>
        <v>3243.48</v>
      </c>
    </row>
    <row r="61" spans="2:12" x14ac:dyDescent="0.3">
      <c r="B61" s="3" t="s">
        <v>51</v>
      </c>
      <c r="C61" s="14">
        <f>IFERROR('Data Sheet'!B69,0)</f>
        <v>55.41</v>
      </c>
      <c r="D61" s="14">
        <f>IFERROR('Data Sheet'!C69,0)</f>
        <v>38.04</v>
      </c>
      <c r="E61" s="14">
        <f>IFERROR('Data Sheet'!D69,0)</f>
        <v>35.1</v>
      </c>
      <c r="F61" s="14">
        <f>IFERROR('Data Sheet'!E69,0)</f>
        <v>1884.29</v>
      </c>
      <c r="G61" s="14">
        <f>IFERROR('Data Sheet'!F69,0)</f>
        <v>560.17999999999995</v>
      </c>
      <c r="H61" s="14">
        <f>IFERROR('Data Sheet'!G69,0)</f>
        <v>219.07</v>
      </c>
      <c r="I61" s="14">
        <f>IFERROR('Data Sheet'!H69,0)</f>
        <v>107.88</v>
      </c>
      <c r="J61" s="14">
        <f>IFERROR('Data Sheet'!I69,0)</f>
        <v>1445.58</v>
      </c>
      <c r="K61" s="14">
        <f>IFERROR('Data Sheet'!J69,0)</f>
        <v>298.58</v>
      </c>
      <c r="L61" s="14">
        <f>IFERROR('Data Sheet'!K69,0)</f>
        <v>1408.33</v>
      </c>
    </row>
    <row r="62" spans="2:12" x14ac:dyDescent="0.3">
      <c r="B62" s="27" t="s">
        <v>84</v>
      </c>
      <c r="C62" s="28">
        <f>SUM(C59:C61)</f>
        <v>443.28</v>
      </c>
      <c r="D62" s="28">
        <f t="shared" ref="D62:L62" si="20">SUM(D59:D61)</f>
        <v>584.72</v>
      </c>
      <c r="E62" s="28">
        <f t="shared" si="20"/>
        <v>715.21</v>
      </c>
      <c r="F62" s="28">
        <f t="shared" si="20"/>
        <v>2853.19</v>
      </c>
      <c r="G62" s="28">
        <f t="shared" si="20"/>
        <v>1757.15</v>
      </c>
      <c r="H62" s="28">
        <f t="shared" si="20"/>
        <v>1892.09</v>
      </c>
      <c r="I62" s="28">
        <f t="shared" si="20"/>
        <v>2074.83</v>
      </c>
      <c r="J62" s="28">
        <f t="shared" si="20"/>
        <v>3737.44</v>
      </c>
      <c r="K62" s="28">
        <f t="shared" si="20"/>
        <v>3108.1299999999997</v>
      </c>
      <c r="L62" s="28">
        <f t="shared" si="20"/>
        <v>4713.9699999999993</v>
      </c>
    </row>
    <row r="64" spans="2:12" x14ac:dyDescent="0.3">
      <c r="B64" s="27" t="s">
        <v>81</v>
      </c>
      <c r="C64" s="28">
        <f>C57+C62</f>
        <v>1807.6499999999999</v>
      </c>
      <c r="D64" s="28">
        <f t="shared" ref="D64:L64" si="21">D57+D62</f>
        <v>2354.8099999999995</v>
      </c>
      <c r="E64" s="28">
        <f t="shared" si="21"/>
        <v>3101.56</v>
      </c>
      <c r="F64" s="28">
        <f t="shared" si="21"/>
        <v>5819.28</v>
      </c>
      <c r="G64" s="28">
        <f t="shared" si="21"/>
        <v>5648.2199999999993</v>
      </c>
      <c r="H64" s="28">
        <f t="shared" si="21"/>
        <v>7005.5</v>
      </c>
      <c r="I64" s="28">
        <f t="shared" si="21"/>
        <v>12076.16</v>
      </c>
      <c r="J64" s="28">
        <f t="shared" si="21"/>
        <v>13655.050000000001</v>
      </c>
      <c r="K64" s="28">
        <f t="shared" si="21"/>
        <v>15470.980000000001</v>
      </c>
      <c r="L64" s="28">
        <f t="shared" si="21"/>
        <v>18106.29</v>
      </c>
    </row>
    <row r="66" spans="1:15" ht="15" thickBot="1" x14ac:dyDescent="0.35">
      <c r="B66" s="40" t="s">
        <v>86</v>
      </c>
      <c r="C66" s="41" t="b">
        <f>C64=C51</f>
        <v>1</v>
      </c>
      <c r="D66" s="41" t="b">
        <f t="shared" ref="D66:L66" si="22">D64=D51</f>
        <v>1</v>
      </c>
      <c r="E66" s="41" t="b">
        <f t="shared" si="22"/>
        <v>1</v>
      </c>
      <c r="F66" s="41" t="b">
        <f t="shared" si="22"/>
        <v>1</v>
      </c>
      <c r="G66" s="41" t="b">
        <f t="shared" si="22"/>
        <v>1</v>
      </c>
      <c r="H66" s="41" t="b">
        <f t="shared" si="22"/>
        <v>1</v>
      </c>
      <c r="I66" s="41" t="b">
        <f t="shared" si="22"/>
        <v>1</v>
      </c>
      <c r="J66" s="41" t="b">
        <f t="shared" si="22"/>
        <v>1</v>
      </c>
      <c r="K66" s="41" t="b">
        <f t="shared" si="22"/>
        <v>1</v>
      </c>
      <c r="L66" s="41" t="b">
        <f t="shared" si="22"/>
        <v>1</v>
      </c>
    </row>
    <row r="67" spans="1:15" ht="15" thickTop="1" x14ac:dyDescent="0.3"/>
    <row r="68" spans="1:15" x14ac:dyDescent="0.3">
      <c r="A68" t="s">
        <v>56</v>
      </c>
      <c r="B68" s="73" t="s">
        <v>87</v>
      </c>
      <c r="C68" s="73"/>
      <c r="D68" s="73"/>
      <c r="E68" s="73"/>
      <c r="F68" s="73"/>
      <c r="G68" s="73"/>
      <c r="H68" s="73"/>
      <c r="I68" s="73"/>
      <c r="J68" s="73"/>
      <c r="K68" s="73"/>
      <c r="L68" s="73"/>
    </row>
    <row r="69" spans="1:15" x14ac:dyDescent="0.3">
      <c r="B69" s="2" t="s">
        <v>114</v>
      </c>
      <c r="O69" s="2"/>
    </row>
    <row r="70" spans="1:15" x14ac:dyDescent="0.3">
      <c r="B70" t="s">
        <v>89</v>
      </c>
      <c r="C70" s="18">
        <f>IFERROR('Cash Flow Data'!C4,0)</f>
        <v>356</v>
      </c>
      <c r="D70" s="18">
        <f>IFERROR('Cash Flow Data'!D4,0)</f>
        <v>474</v>
      </c>
      <c r="E70" s="18">
        <f>IFERROR('Cash Flow Data'!E4,0)</f>
        <v>666</v>
      </c>
      <c r="F70" s="18">
        <f>IFERROR('Cash Flow Data'!F4,0)</f>
        <v>984</v>
      </c>
      <c r="G70" s="18">
        <f>IFERROR('Cash Flow Data'!G4,0)</f>
        <v>1375</v>
      </c>
      <c r="H70" s="18">
        <f>IFERROR('Cash Flow Data'!H4,0)</f>
        <v>1659</v>
      </c>
      <c r="I70" s="18">
        <f>IFERROR('Cash Flow Data'!I4,0)</f>
        <v>2149</v>
      </c>
      <c r="J70" s="18">
        <f>IFERROR('Cash Flow Data'!J4,0)</f>
        <v>1764</v>
      </c>
      <c r="K70" s="18">
        <f>IFERROR('Cash Flow Data'!K4,0)</f>
        <v>2515</v>
      </c>
      <c r="L70" s="18">
        <f>IFERROR('Cash Flow Data'!L4,0)</f>
        <v>3659</v>
      </c>
    </row>
    <row r="71" spans="1:15" x14ac:dyDescent="0.3">
      <c r="B71" t="s">
        <v>42</v>
      </c>
      <c r="C71" s="18">
        <f>IFERROR('Cash Flow Data'!C5,0)</f>
        <v>4</v>
      </c>
      <c r="D71" s="18">
        <f>IFERROR('Cash Flow Data'!D5,0)</f>
        <v>2</v>
      </c>
      <c r="E71" s="18">
        <f>IFERROR('Cash Flow Data'!E5,0)</f>
        <v>-1</v>
      </c>
      <c r="F71" s="18">
        <f>IFERROR('Cash Flow Data'!F5,0)</f>
        <v>54</v>
      </c>
      <c r="G71" s="18">
        <f>IFERROR('Cash Flow Data'!G5,0)</f>
        <v>-13</v>
      </c>
      <c r="H71" s="18">
        <f>IFERROR('Cash Flow Data'!H5,0)</f>
        <v>-31</v>
      </c>
      <c r="I71" s="18">
        <f>IFERROR('Cash Flow Data'!I5,0)</f>
        <v>45</v>
      </c>
      <c r="J71" s="18">
        <f>IFERROR('Cash Flow Data'!J5,0)</f>
        <v>-24</v>
      </c>
      <c r="K71" s="18">
        <f>IFERROR('Cash Flow Data'!K5,0)</f>
        <v>-23</v>
      </c>
      <c r="L71" s="18">
        <f>IFERROR('Cash Flow Data'!L5,0)</f>
        <v>5</v>
      </c>
    </row>
    <row r="72" spans="1:15" x14ac:dyDescent="0.3">
      <c r="B72" t="s">
        <v>29</v>
      </c>
      <c r="C72" s="18">
        <f>IFERROR('Cash Flow Data'!C6,0)</f>
        <v>-102</v>
      </c>
      <c r="D72" s="18">
        <f>IFERROR('Cash Flow Data'!D6,0)</f>
        <v>-161</v>
      </c>
      <c r="E72" s="18">
        <f>IFERROR('Cash Flow Data'!E6,0)</f>
        <v>-132</v>
      </c>
      <c r="F72" s="18">
        <f>IFERROR('Cash Flow Data'!F6,0)</f>
        <v>-276</v>
      </c>
      <c r="G72" s="18">
        <f>IFERROR('Cash Flow Data'!G6,0)</f>
        <v>-212</v>
      </c>
      <c r="H72" s="18">
        <f>IFERROR('Cash Flow Data'!H6,0)</f>
        <v>-445</v>
      </c>
      <c r="I72" s="18">
        <f>IFERROR('Cash Flow Data'!I6,0)</f>
        <v>-339</v>
      </c>
      <c r="J72" s="18">
        <f>IFERROR('Cash Flow Data'!J6,0)</f>
        <v>-301</v>
      </c>
      <c r="K72" s="18">
        <f>IFERROR('Cash Flow Data'!K6,0)</f>
        <v>-494</v>
      </c>
      <c r="L72" s="18">
        <f>IFERROR('Cash Flow Data'!L6,0)</f>
        <v>-501</v>
      </c>
    </row>
    <row r="73" spans="1:15" x14ac:dyDescent="0.3">
      <c r="B73" t="s">
        <v>90</v>
      </c>
      <c r="C73" s="18">
        <f>IFERROR('Cash Flow Data'!C7,0)</f>
        <v>28</v>
      </c>
      <c r="D73" s="18">
        <f>IFERROR('Cash Flow Data'!D7,0)</f>
        <v>-4</v>
      </c>
      <c r="E73" s="18">
        <f>IFERROR('Cash Flow Data'!E7,0)</f>
        <v>72</v>
      </c>
      <c r="F73" s="18">
        <f>IFERROR('Cash Flow Data'!F7,0)</f>
        <v>0</v>
      </c>
      <c r="G73" s="18">
        <f>IFERROR('Cash Flow Data'!G7,0)</f>
        <v>55</v>
      </c>
      <c r="H73" s="18">
        <f>IFERROR('Cash Flow Data'!H7,0)</f>
        <v>146</v>
      </c>
      <c r="I73" s="18">
        <f>IFERROR('Cash Flow Data'!I7,0)</f>
        <v>-30</v>
      </c>
      <c r="J73" s="18">
        <f>IFERROR('Cash Flow Data'!J7,0)</f>
        <v>145</v>
      </c>
      <c r="K73" s="18">
        <f>IFERROR('Cash Flow Data'!K7,0)</f>
        <v>11</v>
      </c>
      <c r="L73" s="18">
        <f>IFERROR('Cash Flow Data'!L7,0)</f>
        <v>165</v>
      </c>
    </row>
    <row r="74" spans="1:15" x14ac:dyDescent="0.3">
      <c r="B74" t="s">
        <v>91</v>
      </c>
      <c r="C74" s="18">
        <f>IFERROR('Cash Flow Data'!C8,0)</f>
        <v>-18</v>
      </c>
      <c r="D74" s="18">
        <f>IFERROR('Cash Flow Data'!D8,0)</f>
        <v>-5</v>
      </c>
      <c r="E74" s="18">
        <f>IFERROR('Cash Flow Data'!E8,0)</f>
        <v>0</v>
      </c>
      <c r="F74" s="18">
        <f>IFERROR('Cash Flow Data'!F8,0)</f>
        <v>0</v>
      </c>
      <c r="G74" s="18">
        <f>IFERROR('Cash Flow Data'!G8,0)</f>
        <v>0</v>
      </c>
      <c r="H74" s="18">
        <f>IFERROR('Cash Flow Data'!H8,0)</f>
        <v>0</v>
      </c>
      <c r="I74" s="18">
        <f>IFERROR('Cash Flow Data'!I8,0)</f>
        <v>0</v>
      </c>
      <c r="J74" s="18">
        <f>IFERROR('Cash Flow Data'!J8,0)</f>
        <v>0</v>
      </c>
      <c r="K74" s="18">
        <f>IFERROR('Cash Flow Data'!K8,0)</f>
        <v>0</v>
      </c>
      <c r="L74" s="18">
        <f>IFERROR('Cash Flow Data'!L8,0)</f>
        <v>0</v>
      </c>
    </row>
    <row r="75" spans="1:15" x14ac:dyDescent="0.3">
      <c r="B75" t="s">
        <v>153</v>
      </c>
      <c r="C75" s="18">
        <f>IFERROR('Cash Flow Data'!C9,0)</f>
        <v>0</v>
      </c>
      <c r="D75" s="18">
        <f>IFERROR('Cash Flow Data'!D9,0)</f>
        <v>0</v>
      </c>
      <c r="E75" s="18">
        <f>IFERROR('Cash Flow Data'!E9,0)</f>
        <v>0</v>
      </c>
      <c r="F75" s="18">
        <f>IFERROR('Cash Flow Data'!F9,0)</f>
        <v>-2</v>
      </c>
      <c r="G75" s="18">
        <f>IFERROR('Cash Flow Data'!G9,0)</f>
        <v>-62</v>
      </c>
      <c r="H75" s="18">
        <f>IFERROR('Cash Flow Data'!H9,0)</f>
        <v>52</v>
      </c>
      <c r="I75" s="18">
        <f>IFERROR('Cash Flow Data'!I9,0)</f>
        <v>2</v>
      </c>
      <c r="J75" s="18">
        <f>IFERROR('Cash Flow Data'!J9,0)</f>
        <v>12</v>
      </c>
      <c r="K75" s="18">
        <f>IFERROR('Cash Flow Data'!K9,0)</f>
        <v>-3</v>
      </c>
      <c r="L75" s="18">
        <f>IFERROR('Cash Flow Data'!L9,0)</f>
        <v>0</v>
      </c>
    </row>
    <row r="76" spans="1:15" x14ac:dyDescent="0.3">
      <c r="B76" t="s">
        <v>92</v>
      </c>
      <c r="C76" s="18">
        <f>IFERROR('Cash Flow Data'!C10,0)</f>
        <v>6</v>
      </c>
      <c r="D76" s="18">
        <f>IFERROR('Cash Flow Data'!D10,0)</f>
        <v>16</v>
      </c>
      <c r="E76" s="18">
        <f>IFERROR('Cash Flow Data'!E10,0)</f>
        <v>-7</v>
      </c>
      <c r="F76" s="18">
        <f>IFERROR('Cash Flow Data'!F10,0)</f>
        <v>-46</v>
      </c>
      <c r="G76" s="18">
        <f>IFERROR('Cash Flow Data'!G10,0)</f>
        <v>-11</v>
      </c>
      <c r="H76" s="18">
        <f>IFERROR('Cash Flow Data'!H10,0)</f>
        <v>-72</v>
      </c>
      <c r="I76" s="18">
        <f>IFERROR('Cash Flow Data'!I10,0)</f>
        <v>-54</v>
      </c>
      <c r="J76" s="18">
        <f>IFERROR('Cash Flow Data'!J10,0)</f>
        <v>41</v>
      </c>
      <c r="K76" s="18">
        <f>IFERROR('Cash Flow Data'!K10,0)</f>
        <v>-73</v>
      </c>
      <c r="L76" s="18">
        <f>IFERROR('Cash Flow Data'!L10,0)</f>
        <v>12</v>
      </c>
    </row>
    <row r="77" spans="1:15" x14ac:dyDescent="0.3">
      <c r="B77" t="s">
        <v>93</v>
      </c>
      <c r="C77" s="18">
        <f>IFERROR('Cash Flow Data'!C11,0)</f>
        <v>-83</v>
      </c>
      <c r="D77" s="18">
        <f>IFERROR('Cash Flow Data'!D11,0)</f>
        <v>-152</v>
      </c>
      <c r="E77" s="18">
        <f>IFERROR('Cash Flow Data'!E11,0)</f>
        <v>-69</v>
      </c>
      <c r="F77" s="18">
        <f>IFERROR('Cash Flow Data'!F11,0)</f>
        <v>-270</v>
      </c>
      <c r="G77" s="18">
        <f>IFERROR('Cash Flow Data'!G11,0)</f>
        <v>-243</v>
      </c>
      <c r="H77" s="18">
        <f>IFERROR('Cash Flow Data'!H11,0)</f>
        <v>-351</v>
      </c>
      <c r="I77" s="18">
        <f>IFERROR('Cash Flow Data'!I11,0)</f>
        <v>-376</v>
      </c>
      <c r="J77" s="18">
        <f>IFERROR('Cash Flow Data'!J11,0)</f>
        <v>-127</v>
      </c>
      <c r="K77" s="18">
        <f>IFERROR('Cash Flow Data'!K11,0)</f>
        <v>-582</v>
      </c>
      <c r="L77" s="18">
        <f>IFERROR('Cash Flow Data'!L11,0)</f>
        <v>-320</v>
      </c>
    </row>
    <row r="78" spans="1:15" x14ac:dyDescent="0.3">
      <c r="B78" t="s">
        <v>94</v>
      </c>
      <c r="C78" s="18">
        <f>IFERROR('Cash Flow Data'!C12,0)</f>
        <v>-75</v>
      </c>
      <c r="D78" s="18">
        <f>IFERROR('Cash Flow Data'!D12,0)</f>
        <v>-100</v>
      </c>
      <c r="E78" s="18">
        <f>IFERROR('Cash Flow Data'!E12,0)</f>
        <v>-164</v>
      </c>
      <c r="F78" s="18">
        <f>IFERROR('Cash Flow Data'!F12,0)</f>
        <v>-258</v>
      </c>
      <c r="G78" s="18">
        <f>IFERROR('Cash Flow Data'!G12,0)</f>
        <v>-403</v>
      </c>
      <c r="H78" s="18">
        <f>IFERROR('Cash Flow Data'!H12,0)</f>
        <v>-502</v>
      </c>
      <c r="I78" s="18">
        <f>IFERROR('Cash Flow Data'!I12,0)</f>
        <v>-492</v>
      </c>
      <c r="J78" s="18">
        <f>IFERROR('Cash Flow Data'!J12,0)</f>
        <v>-262</v>
      </c>
      <c r="K78" s="18">
        <f>IFERROR('Cash Flow Data'!K12,0)</f>
        <v>-560</v>
      </c>
      <c r="L78" s="18">
        <f>IFERROR('Cash Flow Data'!L12,0)</f>
        <v>-709</v>
      </c>
    </row>
    <row r="79" spans="1:15" x14ac:dyDescent="0.3">
      <c r="B79" s="22" t="s">
        <v>113</v>
      </c>
      <c r="C79" s="26">
        <f>SUM(C70:C78)</f>
        <v>116</v>
      </c>
      <c r="D79" s="26">
        <f t="shared" ref="D79:L79" si="23">SUM(D70:D78)</f>
        <v>70</v>
      </c>
      <c r="E79" s="26">
        <f t="shared" si="23"/>
        <v>365</v>
      </c>
      <c r="F79" s="26">
        <f t="shared" si="23"/>
        <v>186</v>
      </c>
      <c r="G79" s="26">
        <f t="shared" si="23"/>
        <v>486</v>
      </c>
      <c r="H79" s="26">
        <f t="shared" si="23"/>
        <v>456</v>
      </c>
      <c r="I79" s="26">
        <f t="shared" si="23"/>
        <v>905</v>
      </c>
      <c r="J79" s="26">
        <f t="shared" si="23"/>
        <v>1248</v>
      </c>
      <c r="K79" s="26">
        <f t="shared" si="23"/>
        <v>791</v>
      </c>
      <c r="L79" s="26">
        <f t="shared" si="23"/>
        <v>2311</v>
      </c>
    </row>
    <row r="81" spans="2:15" x14ac:dyDescent="0.3">
      <c r="B81" s="2" t="s">
        <v>116</v>
      </c>
      <c r="O81" s="2"/>
    </row>
    <row r="82" spans="2:15" x14ac:dyDescent="0.3">
      <c r="B82" t="s">
        <v>96</v>
      </c>
      <c r="C82" s="18">
        <f>IFERROR('Cash Flow Data'!C14,0)</f>
        <v>-272</v>
      </c>
      <c r="D82" s="18">
        <f>IFERROR('Cash Flow Data'!D14,0)</f>
        <v>-477</v>
      </c>
      <c r="E82" s="18">
        <f>IFERROR('Cash Flow Data'!E14,0)</f>
        <v>0</v>
      </c>
      <c r="F82" s="18">
        <f>IFERROR('Cash Flow Data'!F14,0)</f>
        <v>-645</v>
      </c>
      <c r="G82" s="18">
        <f>IFERROR('Cash Flow Data'!G14,0)</f>
        <v>-916</v>
      </c>
      <c r="H82" s="18">
        <f>IFERROR('Cash Flow Data'!H14,0)</f>
        <v>-1417</v>
      </c>
      <c r="I82" s="18">
        <f>IFERROR('Cash Flow Data'!I14,0)</f>
        <v>-1712</v>
      </c>
      <c r="J82" s="18">
        <f>IFERROR('Cash Flow Data'!J14,0)</f>
        <v>-2029</v>
      </c>
      <c r="K82" s="18">
        <f>IFERROR('Cash Flow Data'!K14,0)</f>
        <v>-2410</v>
      </c>
      <c r="L82" s="18">
        <f>IFERROR('Cash Flow Data'!L14,0)</f>
        <v>-2212</v>
      </c>
    </row>
    <row r="83" spans="2:15" x14ac:dyDescent="0.3">
      <c r="B83" t="s">
        <v>97</v>
      </c>
      <c r="C83" s="18">
        <f>IFERROR('Cash Flow Data'!C15,0)</f>
        <v>1</v>
      </c>
      <c r="D83" s="18">
        <f>IFERROR('Cash Flow Data'!D15,0)</f>
        <v>0</v>
      </c>
      <c r="E83" s="18">
        <f>IFERROR('Cash Flow Data'!E15,0)</f>
        <v>2</v>
      </c>
      <c r="F83" s="18">
        <f>IFERROR('Cash Flow Data'!F15,0)</f>
        <v>10</v>
      </c>
      <c r="G83" s="18">
        <f>IFERROR('Cash Flow Data'!G15,0)</f>
        <v>7</v>
      </c>
      <c r="H83" s="18">
        <f>IFERROR('Cash Flow Data'!H15,0)</f>
        <v>8</v>
      </c>
      <c r="I83" s="18">
        <f>IFERROR('Cash Flow Data'!I15,0)</f>
        <v>6</v>
      </c>
      <c r="J83" s="18">
        <f>IFERROR('Cash Flow Data'!J15,0)</f>
        <v>2</v>
      </c>
      <c r="K83" s="18">
        <f>IFERROR('Cash Flow Data'!K15,0)</f>
        <v>21</v>
      </c>
      <c r="L83" s="18">
        <f>IFERROR('Cash Flow Data'!L15,0)</f>
        <v>5</v>
      </c>
    </row>
    <row r="84" spans="2:15" x14ac:dyDescent="0.3">
      <c r="B84" t="s">
        <v>98</v>
      </c>
      <c r="C84" s="18">
        <f>IFERROR('Cash Flow Data'!C16,0)</f>
        <v>-644</v>
      </c>
      <c r="D84" s="18">
        <f>IFERROR('Cash Flow Data'!D16,0)</f>
        <v>-2901</v>
      </c>
      <c r="E84" s="18">
        <f>IFERROR('Cash Flow Data'!E16,0)</f>
        <v>-638</v>
      </c>
      <c r="F84" s="18">
        <f>IFERROR('Cash Flow Data'!F16,0)</f>
        <v>0</v>
      </c>
      <c r="G84" s="18">
        <f>IFERROR('Cash Flow Data'!G16,0)</f>
        <v>0</v>
      </c>
      <c r="H84" s="18">
        <f>IFERROR('Cash Flow Data'!H16,0)</f>
        <v>0</v>
      </c>
      <c r="I84" s="18">
        <f>IFERROR('Cash Flow Data'!I16,0)</f>
        <v>0</v>
      </c>
      <c r="J84" s="18">
        <f>IFERROR('Cash Flow Data'!J16,0)</f>
        <v>0</v>
      </c>
      <c r="K84" s="18">
        <f>IFERROR('Cash Flow Data'!K16,0)</f>
        <v>0</v>
      </c>
      <c r="L84" s="18">
        <f>IFERROR('Cash Flow Data'!L16,0)</f>
        <v>-193</v>
      </c>
    </row>
    <row r="85" spans="2:15" x14ac:dyDescent="0.3">
      <c r="B85" t="s">
        <v>99</v>
      </c>
      <c r="C85" s="18">
        <f>IFERROR('Cash Flow Data'!C17,0)</f>
        <v>645</v>
      </c>
      <c r="D85" s="18">
        <f>IFERROR('Cash Flow Data'!D17,0)</f>
        <v>2904</v>
      </c>
      <c r="E85" s="18">
        <f>IFERROR('Cash Flow Data'!E17,0)</f>
        <v>0</v>
      </c>
      <c r="F85" s="18">
        <f>IFERROR('Cash Flow Data'!F17,0)</f>
        <v>0</v>
      </c>
      <c r="G85" s="18">
        <f>IFERROR('Cash Flow Data'!G17,0)</f>
        <v>1376</v>
      </c>
      <c r="H85" s="18">
        <f>IFERROR('Cash Flow Data'!H17,0)</f>
        <v>410</v>
      </c>
      <c r="I85" s="18">
        <f>IFERROR('Cash Flow Data'!I17,0)</f>
        <v>232</v>
      </c>
      <c r="J85" s="18">
        <f>IFERROR('Cash Flow Data'!J17,0)</f>
        <v>3</v>
      </c>
      <c r="K85" s="18">
        <f>IFERROR('Cash Flow Data'!K17,0)</f>
        <v>4</v>
      </c>
      <c r="L85" s="18">
        <f>IFERROR('Cash Flow Data'!L17,0)</f>
        <v>6</v>
      </c>
    </row>
    <row r="86" spans="2:15" x14ac:dyDescent="0.3">
      <c r="B86" t="s">
        <v>154</v>
      </c>
      <c r="C86" s="18">
        <f>IFERROR('Cash Flow Data'!C18,0)</f>
        <v>0</v>
      </c>
      <c r="D86" s="18">
        <f>IFERROR('Cash Flow Data'!D18,0)</f>
        <v>0</v>
      </c>
      <c r="E86" s="18">
        <f>IFERROR('Cash Flow Data'!E18,0)</f>
        <v>3</v>
      </c>
      <c r="F86" s="18">
        <f>IFERROR('Cash Flow Data'!F18,0)</f>
        <v>8</v>
      </c>
      <c r="G86" s="18">
        <f>IFERROR('Cash Flow Data'!G18,0)</f>
        <v>0</v>
      </c>
      <c r="H86" s="18">
        <f>IFERROR('Cash Flow Data'!H18,0)</f>
        <v>0</v>
      </c>
      <c r="I86" s="18">
        <f>IFERROR('Cash Flow Data'!I18,0)</f>
        <v>0</v>
      </c>
      <c r="J86" s="18">
        <f>IFERROR('Cash Flow Data'!J18,0)</f>
        <v>0</v>
      </c>
      <c r="K86" s="18">
        <f>IFERROR('Cash Flow Data'!K18,0)</f>
        <v>0</v>
      </c>
      <c r="L86" s="18">
        <f>IFERROR('Cash Flow Data'!L18,0)</f>
        <v>0</v>
      </c>
    </row>
    <row r="87" spans="2:15" x14ac:dyDescent="0.3">
      <c r="B87" t="s">
        <v>100</v>
      </c>
      <c r="C87" s="18">
        <f>IFERROR('Cash Flow Data'!C19,0)</f>
        <v>0</v>
      </c>
      <c r="D87" s="18">
        <f>IFERROR('Cash Flow Data'!D19,0)</f>
        <v>0</v>
      </c>
      <c r="E87" s="18">
        <f>IFERROR('Cash Flow Data'!E19,0)</f>
        <v>1</v>
      </c>
      <c r="F87" s="18">
        <f>IFERROR('Cash Flow Data'!F19,0)</f>
        <v>1</v>
      </c>
      <c r="G87" s="18">
        <f>IFERROR('Cash Flow Data'!G19,0)</f>
        <v>31</v>
      </c>
      <c r="H87" s="18">
        <f>IFERROR('Cash Flow Data'!H19,0)</f>
        <v>36</v>
      </c>
      <c r="I87" s="18">
        <f>IFERROR('Cash Flow Data'!I19,0)</f>
        <v>12</v>
      </c>
      <c r="J87" s="18">
        <f>IFERROR('Cash Flow Data'!J19,0)</f>
        <v>129</v>
      </c>
      <c r="K87" s="18">
        <f>IFERROR('Cash Flow Data'!K19,0)</f>
        <v>43</v>
      </c>
      <c r="L87" s="18">
        <f>IFERROR('Cash Flow Data'!L19,0)</f>
        <v>39</v>
      </c>
    </row>
    <row r="88" spans="2:15" x14ac:dyDescent="0.3">
      <c r="B88" t="s">
        <v>101</v>
      </c>
      <c r="C88" s="18">
        <f>IFERROR('Cash Flow Data'!C20,0)</f>
        <v>0</v>
      </c>
      <c r="D88" s="18">
        <f>IFERROR('Cash Flow Data'!D20,0)</f>
        <v>0</v>
      </c>
      <c r="E88" s="18">
        <f>IFERROR('Cash Flow Data'!E20,0)</f>
        <v>0</v>
      </c>
      <c r="F88" s="18">
        <f>IFERROR('Cash Flow Data'!F20,0)</f>
        <v>0</v>
      </c>
      <c r="G88" s="18">
        <f>IFERROR('Cash Flow Data'!G20,0)</f>
        <v>0</v>
      </c>
      <c r="H88" s="18">
        <f>IFERROR('Cash Flow Data'!H20,0)</f>
        <v>0</v>
      </c>
      <c r="I88" s="18">
        <f>IFERROR('Cash Flow Data'!I20,0)</f>
        <v>0</v>
      </c>
      <c r="J88" s="18">
        <f>IFERROR('Cash Flow Data'!J20,0)</f>
        <v>0</v>
      </c>
      <c r="K88" s="18">
        <f>IFERROR('Cash Flow Data'!K20,0)</f>
        <v>0</v>
      </c>
      <c r="L88" s="18">
        <f>IFERROR('Cash Flow Data'!L20,0)</f>
        <v>0</v>
      </c>
    </row>
    <row r="89" spans="2:15" x14ac:dyDescent="0.3">
      <c r="B89" t="s">
        <v>102</v>
      </c>
      <c r="C89" s="18">
        <f>IFERROR('Cash Flow Data'!C21,0)</f>
        <v>0</v>
      </c>
      <c r="D89" s="18">
        <f>IFERROR('Cash Flow Data'!D21,0)</f>
        <v>0</v>
      </c>
      <c r="E89" s="18">
        <f>IFERROR('Cash Flow Data'!E21,0)</f>
        <v>-14</v>
      </c>
      <c r="F89" s="18">
        <f>IFERROR('Cash Flow Data'!F21,0)</f>
        <v>-21</v>
      </c>
      <c r="G89" s="18">
        <f>IFERROR('Cash Flow Data'!G21,0)</f>
        <v>-49</v>
      </c>
      <c r="H89" s="18">
        <f>IFERROR('Cash Flow Data'!H21,0)</f>
        <v>0</v>
      </c>
      <c r="I89" s="18">
        <f>IFERROR('Cash Flow Data'!I21,0)</f>
        <v>0</v>
      </c>
      <c r="J89" s="18">
        <f>IFERROR('Cash Flow Data'!J21,0)</f>
        <v>0</v>
      </c>
      <c r="K89" s="18">
        <f>IFERROR('Cash Flow Data'!K21,0)</f>
        <v>0</v>
      </c>
      <c r="L89" s="18">
        <f>IFERROR('Cash Flow Data'!L21,0)</f>
        <v>0</v>
      </c>
    </row>
    <row r="90" spans="2:15" x14ac:dyDescent="0.3">
      <c r="B90" t="s">
        <v>103</v>
      </c>
      <c r="C90" s="18">
        <f>IFERROR('Cash Flow Data'!C22,0)</f>
        <v>0</v>
      </c>
      <c r="D90" s="18">
        <f>IFERROR('Cash Flow Data'!D22,0)</f>
        <v>0</v>
      </c>
      <c r="E90" s="18">
        <f>IFERROR('Cash Flow Data'!E22,0)</f>
        <v>0</v>
      </c>
      <c r="F90" s="18">
        <f>IFERROR('Cash Flow Data'!F22,0)</f>
        <v>0</v>
      </c>
      <c r="G90" s="18">
        <f>IFERROR('Cash Flow Data'!G22,0)</f>
        <v>8</v>
      </c>
      <c r="H90" s="18">
        <f>IFERROR('Cash Flow Data'!H22,0)</f>
        <v>0</v>
      </c>
      <c r="I90" s="18">
        <f>IFERROR('Cash Flow Data'!I22,0)</f>
        <v>0</v>
      </c>
      <c r="J90" s="18">
        <f>IFERROR('Cash Flow Data'!J22,0)</f>
        <v>0</v>
      </c>
      <c r="K90" s="18">
        <f>IFERROR('Cash Flow Data'!K22,0)</f>
        <v>0</v>
      </c>
      <c r="L90" s="18">
        <f>IFERROR('Cash Flow Data'!L22,0)</f>
        <v>0</v>
      </c>
    </row>
    <row r="91" spans="2:15" x14ac:dyDescent="0.3">
      <c r="B91" t="s">
        <v>104</v>
      </c>
      <c r="C91" s="18">
        <f>IFERROR('Cash Flow Data'!C23,0)</f>
        <v>0</v>
      </c>
      <c r="D91" s="18">
        <f>IFERROR('Cash Flow Data'!D23,0)</f>
        <v>0</v>
      </c>
      <c r="E91" s="18">
        <f>IFERROR('Cash Flow Data'!E23,0)</f>
        <v>14</v>
      </c>
      <c r="F91" s="18">
        <f>IFERROR('Cash Flow Data'!F23,0)</f>
        <v>-1835</v>
      </c>
      <c r="G91" s="18">
        <f>IFERROR('Cash Flow Data'!G23,0)</f>
        <v>7</v>
      </c>
      <c r="H91" s="18">
        <f>IFERROR('Cash Flow Data'!H23,0)</f>
        <v>3</v>
      </c>
      <c r="I91" s="18">
        <f>IFERROR('Cash Flow Data'!I23,0)</f>
        <v>-3194</v>
      </c>
      <c r="J91" s="18">
        <f>IFERROR('Cash Flow Data'!J23,0)</f>
        <v>786</v>
      </c>
      <c r="K91" s="18">
        <f>IFERROR('Cash Flow Data'!K23,0)</f>
        <v>1054</v>
      </c>
      <c r="L91" s="18">
        <f>IFERROR('Cash Flow Data'!L23,0)</f>
        <v>42</v>
      </c>
    </row>
    <row r="92" spans="2:15" x14ac:dyDescent="0.3">
      <c r="B92" s="22" t="s">
        <v>115</v>
      </c>
      <c r="C92" s="26">
        <f>SUM(C82:C91)</f>
        <v>-270</v>
      </c>
      <c r="D92" s="26">
        <f t="shared" ref="D92:L92" si="24">SUM(D82:D91)</f>
        <v>-474</v>
      </c>
      <c r="E92" s="26">
        <f t="shared" si="24"/>
        <v>-632</v>
      </c>
      <c r="F92" s="26">
        <f t="shared" si="24"/>
        <v>-2482</v>
      </c>
      <c r="G92" s="26">
        <f t="shared" si="24"/>
        <v>464</v>
      </c>
      <c r="H92" s="26">
        <f t="shared" si="24"/>
        <v>-960</v>
      </c>
      <c r="I92" s="26">
        <f t="shared" si="24"/>
        <v>-4656</v>
      </c>
      <c r="J92" s="26">
        <f t="shared" si="24"/>
        <v>-1109</v>
      </c>
      <c r="K92" s="26">
        <f t="shared" si="24"/>
        <v>-1288</v>
      </c>
      <c r="L92" s="26">
        <f t="shared" si="24"/>
        <v>-2313</v>
      </c>
    </row>
    <row r="94" spans="2:15" x14ac:dyDescent="0.3">
      <c r="B94" s="2" t="s">
        <v>117</v>
      </c>
      <c r="N94" s="2"/>
    </row>
    <row r="95" spans="2:15" x14ac:dyDescent="0.3">
      <c r="B95" t="s">
        <v>106</v>
      </c>
      <c r="C95" s="18">
        <f>IFERROR('Cash Flow Data'!C25,0)</f>
        <v>5</v>
      </c>
      <c r="D95" s="18">
        <f>IFERROR('Cash Flow Data'!D25,0)</f>
        <v>33</v>
      </c>
      <c r="E95" s="18">
        <f>IFERROR('Cash Flow Data'!E25,0)</f>
        <v>0</v>
      </c>
      <c r="F95" s="18">
        <f>IFERROR('Cash Flow Data'!F25,0)</f>
        <v>1841</v>
      </c>
      <c r="G95" s="18">
        <f>IFERROR('Cash Flow Data'!G25,0)</f>
        <v>0</v>
      </c>
      <c r="H95" s="18">
        <f>IFERROR('Cash Flow Data'!H25,0)</f>
        <v>0</v>
      </c>
      <c r="I95" s="18">
        <f>IFERROR('Cash Flow Data'!I25,0)</f>
        <v>110</v>
      </c>
      <c r="J95" s="18">
        <f>IFERROR('Cash Flow Data'!J25,0)</f>
        <v>0</v>
      </c>
      <c r="K95" s="18">
        <f>IFERROR('Cash Flow Data'!K25,0)</f>
        <v>0</v>
      </c>
      <c r="L95" s="18">
        <f>IFERROR('Cash Flow Data'!L25,0)</f>
        <v>15</v>
      </c>
    </row>
    <row r="96" spans="2:15" x14ac:dyDescent="0.3">
      <c r="B96" t="s">
        <v>155</v>
      </c>
      <c r="C96" s="18">
        <f>IFERROR('Cash Flow Data'!C26,0)</f>
        <v>0</v>
      </c>
      <c r="D96" s="18">
        <f>IFERROR('Cash Flow Data'!D26,0)</f>
        <v>200</v>
      </c>
      <c r="E96" s="18">
        <f>IFERROR('Cash Flow Data'!E26,0)</f>
        <v>350</v>
      </c>
      <c r="F96" s="18">
        <f>IFERROR('Cash Flow Data'!F26,0)</f>
        <v>250</v>
      </c>
      <c r="G96" s="18">
        <f>IFERROR('Cash Flow Data'!G26,0)</f>
        <v>0</v>
      </c>
      <c r="H96" s="18">
        <f>IFERROR('Cash Flow Data'!H26,0)</f>
        <v>0</v>
      </c>
      <c r="I96" s="18">
        <f>IFERROR('Cash Flow Data'!I26,0)</f>
        <v>300</v>
      </c>
      <c r="J96" s="18">
        <f>IFERROR('Cash Flow Data'!J26,0)</f>
        <v>0</v>
      </c>
      <c r="K96" s="18">
        <f>IFERROR('Cash Flow Data'!K26,0)</f>
        <v>0</v>
      </c>
      <c r="L96" s="18">
        <f>IFERROR('Cash Flow Data'!L26,0)</f>
        <v>0</v>
      </c>
    </row>
    <row r="97" spans="1:12" x14ac:dyDescent="0.3">
      <c r="B97" t="s">
        <v>107</v>
      </c>
      <c r="C97" s="18">
        <f>IFERROR('Cash Flow Data'!C27,0)</f>
        <v>0</v>
      </c>
      <c r="D97" s="18">
        <f>IFERROR('Cash Flow Data'!D27,0)</f>
        <v>0</v>
      </c>
      <c r="E97" s="18">
        <f>IFERROR('Cash Flow Data'!E27,0)</f>
        <v>0</v>
      </c>
      <c r="F97" s="18">
        <f>IFERROR('Cash Flow Data'!F27,0)</f>
        <v>0</v>
      </c>
      <c r="G97" s="18">
        <f>IFERROR('Cash Flow Data'!G27,0)</f>
        <v>-384</v>
      </c>
      <c r="H97" s="18">
        <f>IFERROR('Cash Flow Data'!H27,0)</f>
        <v>-170</v>
      </c>
      <c r="I97" s="18">
        <f>IFERROR('Cash Flow Data'!I27,0)</f>
        <v>-512</v>
      </c>
      <c r="J97" s="18">
        <f>IFERROR('Cash Flow Data'!J27,0)</f>
        <v>-34</v>
      </c>
      <c r="K97" s="18">
        <f>IFERROR('Cash Flow Data'!K27,0)</f>
        <v>0</v>
      </c>
      <c r="L97" s="18">
        <f>IFERROR('Cash Flow Data'!L27,0)</f>
        <v>0</v>
      </c>
    </row>
    <row r="98" spans="1:12" x14ac:dyDescent="0.3">
      <c r="B98" t="s">
        <v>108</v>
      </c>
      <c r="C98" s="18">
        <f>IFERROR('Cash Flow Data'!C28,0)</f>
        <v>245</v>
      </c>
      <c r="D98" s="18">
        <f>IFERROR('Cash Flow Data'!D28,0)</f>
        <v>295</v>
      </c>
      <c r="E98" s="18">
        <f>IFERROR('Cash Flow Data'!E28,0)</f>
        <v>-60</v>
      </c>
      <c r="F98" s="18">
        <f>IFERROR('Cash Flow Data'!F28,0)</f>
        <v>260</v>
      </c>
      <c r="G98" s="18">
        <f>IFERROR('Cash Flow Data'!G28,0)</f>
        <v>0</v>
      </c>
      <c r="H98" s="18">
        <f>IFERROR('Cash Flow Data'!H28,0)</f>
        <v>992</v>
      </c>
      <c r="I98" s="18">
        <f>IFERROR('Cash Flow Data'!I28,0)</f>
        <v>1100</v>
      </c>
      <c r="J98" s="18">
        <f>IFERROR('Cash Flow Data'!J28,0)</f>
        <v>200</v>
      </c>
      <c r="K98" s="18">
        <f>IFERROR('Cash Flow Data'!K28,0)</f>
        <v>248</v>
      </c>
      <c r="L98" s="18">
        <f>IFERROR('Cash Flow Data'!L28,0)</f>
        <v>0</v>
      </c>
    </row>
    <row r="99" spans="1:12" x14ac:dyDescent="0.3">
      <c r="B99" t="s">
        <v>109</v>
      </c>
      <c r="C99" s="18">
        <f>IFERROR('Cash Flow Data'!C29,0)</f>
        <v>-130</v>
      </c>
      <c r="D99" s="18">
        <f>IFERROR('Cash Flow Data'!D29,0)</f>
        <v>-232</v>
      </c>
      <c r="E99" s="18">
        <f>IFERROR('Cash Flow Data'!E29,0)</f>
        <v>0</v>
      </c>
      <c r="F99" s="18">
        <f>IFERROR('Cash Flow Data'!F29,0)</f>
        <v>-155</v>
      </c>
      <c r="G99" s="18">
        <f>IFERROR('Cash Flow Data'!G29,0)</f>
        <v>-695</v>
      </c>
      <c r="H99" s="18">
        <f>IFERROR('Cash Flow Data'!H29,0)</f>
        <v>-562</v>
      </c>
      <c r="I99" s="18">
        <f>IFERROR('Cash Flow Data'!I29,0)</f>
        <v>-1550</v>
      </c>
      <c r="J99" s="18">
        <f>IFERROR('Cash Flow Data'!J29,0)</f>
        <v>-204</v>
      </c>
      <c r="K99" s="18">
        <f>IFERROR('Cash Flow Data'!K29,0)</f>
        <v>-248</v>
      </c>
      <c r="L99" s="18">
        <f>IFERROR('Cash Flow Data'!L29,0)</f>
        <v>0</v>
      </c>
    </row>
    <row r="100" spans="1:12" x14ac:dyDescent="0.3">
      <c r="B100" t="s">
        <v>110</v>
      </c>
      <c r="C100" s="18">
        <f>IFERROR('Cash Flow Data'!C30,0)</f>
        <v>-54</v>
      </c>
      <c r="D100" s="18">
        <f>IFERROR('Cash Flow Data'!D30,0)</f>
        <v>-62</v>
      </c>
      <c r="E100" s="18">
        <f>IFERROR('Cash Flow Data'!E30,0)</f>
        <v>-93</v>
      </c>
      <c r="F100" s="18">
        <f>IFERROR('Cash Flow Data'!F30,0)</f>
        <v>-120</v>
      </c>
      <c r="G100" s="18">
        <f>IFERROR('Cash Flow Data'!G30,0)</f>
        <v>-80</v>
      </c>
      <c r="H100" s="18">
        <f>IFERROR('Cash Flow Data'!H30,0)</f>
        <v>-51</v>
      </c>
      <c r="I100" s="18">
        <f>IFERROR('Cash Flow Data'!I30,0)</f>
        <v>-98</v>
      </c>
      <c r="J100" s="18">
        <f>IFERROR('Cash Flow Data'!J30,0)</f>
        <v>-44</v>
      </c>
      <c r="K100" s="18">
        <f>IFERROR('Cash Flow Data'!K30,0)</f>
        <v>-54</v>
      </c>
      <c r="L100" s="18">
        <f>IFERROR('Cash Flow Data'!L30,0)</f>
        <v>-67</v>
      </c>
    </row>
    <row r="101" spans="1:12" x14ac:dyDescent="0.3">
      <c r="B101" t="s">
        <v>111</v>
      </c>
      <c r="C101" s="18">
        <f>IFERROR('Cash Flow Data'!C31,0)</f>
        <v>0</v>
      </c>
      <c r="D101" s="18">
        <f>IFERROR('Cash Flow Data'!D31,0)</f>
        <v>0</v>
      </c>
      <c r="E101" s="18">
        <f>IFERROR('Cash Flow Data'!E31,0)</f>
        <v>0</v>
      </c>
      <c r="F101" s="18">
        <f>IFERROR('Cash Flow Data'!F31,0)</f>
        <v>0</v>
      </c>
      <c r="G101" s="18">
        <f>IFERROR('Cash Flow Data'!G31,0)</f>
        <v>0</v>
      </c>
      <c r="H101" s="18">
        <f>IFERROR('Cash Flow Data'!H31,0)</f>
        <v>0</v>
      </c>
      <c r="I101" s="18">
        <f>IFERROR('Cash Flow Data'!I31,0)</f>
        <v>-70</v>
      </c>
      <c r="J101" s="18">
        <f>IFERROR('Cash Flow Data'!J31,0)</f>
        <v>-98</v>
      </c>
      <c r="K101" s="18">
        <f>IFERROR('Cash Flow Data'!K31,0)</f>
        <v>-125</v>
      </c>
      <c r="L101" s="18">
        <f>IFERROR('Cash Flow Data'!L31,0)</f>
        <v>-307</v>
      </c>
    </row>
    <row r="102" spans="1:12" x14ac:dyDescent="0.3">
      <c r="B102" t="s">
        <v>156</v>
      </c>
      <c r="C102" s="18">
        <f>IFERROR('Cash Flow Data'!C32,0)</f>
        <v>0</v>
      </c>
      <c r="D102" s="18">
        <f>IFERROR('Cash Flow Data'!D32,0)</f>
        <v>0</v>
      </c>
      <c r="E102" s="18">
        <f>IFERROR('Cash Flow Data'!E32,0)</f>
        <v>0</v>
      </c>
      <c r="F102" s="18">
        <f>IFERROR('Cash Flow Data'!F32,0)</f>
        <v>0</v>
      </c>
      <c r="G102" s="18">
        <f>IFERROR('Cash Flow Data'!G32,0)</f>
        <v>0</v>
      </c>
      <c r="H102" s="18">
        <f>IFERROR('Cash Flow Data'!H32,0)</f>
        <v>0</v>
      </c>
      <c r="I102" s="18">
        <f>IFERROR('Cash Flow Data'!I32,0)</f>
        <v>0</v>
      </c>
      <c r="J102" s="18">
        <f>IFERROR('Cash Flow Data'!J32,0)</f>
        <v>0</v>
      </c>
      <c r="K102" s="18">
        <f>IFERROR('Cash Flow Data'!K32,0)</f>
        <v>0</v>
      </c>
      <c r="L102" s="18">
        <f>IFERROR('Cash Flow Data'!L32,0)</f>
        <v>1</v>
      </c>
    </row>
    <row r="103" spans="1:12" x14ac:dyDescent="0.3">
      <c r="B103" t="s">
        <v>112</v>
      </c>
      <c r="C103" s="18">
        <f>IFERROR('Cash Flow Data'!C33,0)</f>
        <v>0</v>
      </c>
      <c r="D103" s="18">
        <f>IFERROR('Cash Flow Data'!D33,0)</f>
        <v>0</v>
      </c>
      <c r="E103" s="18">
        <f>IFERROR('Cash Flow Data'!E33,0)</f>
        <v>0</v>
      </c>
      <c r="F103" s="18">
        <f>IFERROR('Cash Flow Data'!F33,0)</f>
        <v>-50</v>
      </c>
      <c r="G103" s="18">
        <f>IFERROR('Cash Flow Data'!G33,0)</f>
        <v>0</v>
      </c>
      <c r="H103" s="18">
        <f>IFERROR('Cash Flow Data'!H33,0)</f>
        <v>0</v>
      </c>
      <c r="I103" s="18">
        <f>IFERROR('Cash Flow Data'!I33,0)</f>
        <v>4077</v>
      </c>
      <c r="J103" s="18">
        <f>IFERROR('Cash Flow Data'!J33,0)</f>
        <v>0</v>
      </c>
      <c r="K103" s="18">
        <f>IFERROR('Cash Flow Data'!K33,0)</f>
        <v>0</v>
      </c>
      <c r="L103" s="18">
        <f>IFERROR('Cash Flow Data'!L33,0)</f>
        <v>153</v>
      </c>
    </row>
    <row r="104" spans="1:12" x14ac:dyDescent="0.3">
      <c r="B104" s="22" t="s">
        <v>118</v>
      </c>
      <c r="C104" s="26">
        <f>SUM(C95:C103)</f>
        <v>66</v>
      </c>
      <c r="D104" s="26">
        <f t="shared" ref="D104:L104" si="25">SUM(D95:D103)</f>
        <v>234</v>
      </c>
      <c r="E104" s="26">
        <f t="shared" si="25"/>
        <v>197</v>
      </c>
      <c r="F104" s="26">
        <f t="shared" si="25"/>
        <v>2026</v>
      </c>
      <c r="G104" s="26">
        <f t="shared" si="25"/>
        <v>-1159</v>
      </c>
      <c r="H104" s="26">
        <f t="shared" si="25"/>
        <v>209</v>
      </c>
      <c r="I104" s="26">
        <f t="shared" si="25"/>
        <v>3357</v>
      </c>
      <c r="J104" s="26">
        <f t="shared" si="25"/>
        <v>-180</v>
      </c>
      <c r="K104" s="26">
        <f t="shared" si="25"/>
        <v>-179</v>
      </c>
      <c r="L104" s="26">
        <f t="shared" si="25"/>
        <v>-205</v>
      </c>
    </row>
    <row r="106" spans="1:12" ht="15" thickBot="1" x14ac:dyDescent="0.35">
      <c r="B106" s="42" t="s">
        <v>20</v>
      </c>
      <c r="C106" s="43">
        <f>C104+C92+C79</f>
        <v>-88</v>
      </c>
      <c r="D106" s="43">
        <f t="shared" ref="D106:L106" si="26">D104+D92+D79</f>
        <v>-170</v>
      </c>
      <c r="E106" s="43">
        <f t="shared" si="26"/>
        <v>-70</v>
      </c>
      <c r="F106" s="43">
        <f t="shared" si="26"/>
        <v>-270</v>
      </c>
      <c r="G106" s="43">
        <f t="shared" si="26"/>
        <v>-209</v>
      </c>
      <c r="H106" s="43">
        <f t="shared" si="26"/>
        <v>-295</v>
      </c>
      <c r="I106" s="43">
        <f t="shared" si="26"/>
        <v>-394</v>
      </c>
      <c r="J106" s="43">
        <f t="shared" si="26"/>
        <v>-41</v>
      </c>
      <c r="K106" s="43">
        <f t="shared" si="26"/>
        <v>-676</v>
      </c>
      <c r="L106" s="43">
        <f t="shared" si="26"/>
        <v>-207</v>
      </c>
    </row>
    <row r="107" spans="1:12" ht="15" thickTop="1" x14ac:dyDescent="0.3"/>
    <row r="108" spans="1:12" x14ac:dyDescent="0.3">
      <c r="A108" t="s">
        <v>56</v>
      </c>
      <c r="B108" s="20" t="s">
        <v>119</v>
      </c>
    </row>
    <row r="110" spans="1:12" x14ac:dyDescent="0.3">
      <c r="B110" s="4" t="s">
        <v>17</v>
      </c>
      <c r="C110" s="18">
        <f>IFERROR('Data Sheet'!B82,0)</f>
        <v>198.14</v>
      </c>
      <c r="D110" s="18">
        <f>IFERROR('Data Sheet'!C82,0)</f>
        <v>222.02</v>
      </c>
      <c r="E110" s="18">
        <f>IFERROR('Data Sheet'!D82,0)</f>
        <v>433.47</v>
      </c>
      <c r="F110" s="18">
        <f>IFERROR('Data Sheet'!E82,0)</f>
        <v>455.28</v>
      </c>
      <c r="G110" s="18">
        <f>IFERROR('Data Sheet'!F82,0)</f>
        <v>729.99</v>
      </c>
      <c r="H110" s="18">
        <f>IFERROR('Data Sheet'!G82,0)</f>
        <v>806.84</v>
      </c>
      <c r="I110" s="18">
        <f>IFERROR('Data Sheet'!H82,0)</f>
        <v>1280.1400000000001</v>
      </c>
      <c r="J110" s="18">
        <f>IFERROR('Data Sheet'!I82,0)</f>
        <v>1375.14</v>
      </c>
      <c r="K110" s="18">
        <f>IFERROR('Data Sheet'!J82,0)</f>
        <v>1372.35</v>
      </c>
      <c r="L110" s="18">
        <f>IFERROR('Data Sheet'!K82,0)</f>
        <v>2630.27</v>
      </c>
    </row>
    <row r="111" spans="1:12" x14ac:dyDescent="0.3">
      <c r="B111" s="4" t="s">
        <v>18</v>
      </c>
      <c r="C111" s="18">
        <f>IFERROR('Data Sheet'!B83,0)</f>
        <v>-270.17</v>
      </c>
      <c r="D111" s="18">
        <f>IFERROR('Data Sheet'!C83,0)</f>
        <v>-473.88</v>
      </c>
      <c r="E111" s="18">
        <f>IFERROR('Data Sheet'!D83,0)</f>
        <v>-632.89</v>
      </c>
      <c r="F111" s="18">
        <f>IFERROR('Data Sheet'!E83,0)</f>
        <v>-2481.61</v>
      </c>
      <c r="G111" s="18">
        <f>IFERROR('Data Sheet'!F83,0)</f>
        <v>463.55</v>
      </c>
      <c r="H111" s="18">
        <f>IFERROR('Data Sheet'!G83,0)</f>
        <v>-958.37</v>
      </c>
      <c r="I111" s="18">
        <f>IFERROR('Data Sheet'!H83,0)</f>
        <v>-4656.5600000000004</v>
      </c>
      <c r="J111" s="18">
        <f>IFERROR('Data Sheet'!I83,0)</f>
        <v>-1110</v>
      </c>
      <c r="K111" s="18">
        <f>IFERROR('Data Sheet'!J83,0)</f>
        <v>-1289.49</v>
      </c>
      <c r="L111" s="18">
        <f>IFERROR('Data Sheet'!K83,0)</f>
        <v>-2313.1</v>
      </c>
    </row>
    <row r="112" spans="1:12" x14ac:dyDescent="0.3">
      <c r="B112" s="4" t="s">
        <v>19</v>
      </c>
      <c r="C112" s="18">
        <f>IFERROR('Data Sheet'!B84,0)</f>
        <v>65.23</v>
      </c>
      <c r="D112" s="18">
        <f>IFERROR('Data Sheet'!C84,0)</f>
        <v>234.45</v>
      </c>
      <c r="E112" s="18">
        <f>IFERROR('Data Sheet'!D84,0)</f>
        <v>196.44</v>
      </c>
      <c r="F112" s="18">
        <f>IFERROR('Data Sheet'!E84,0)</f>
        <v>2025.26</v>
      </c>
      <c r="G112" s="18">
        <f>IFERROR('Data Sheet'!F84,0)</f>
        <v>-1159.06</v>
      </c>
      <c r="H112" s="18">
        <f>IFERROR('Data Sheet'!G84,0)</f>
        <v>208.98</v>
      </c>
      <c r="I112" s="18">
        <f>IFERROR('Data Sheet'!H84,0)</f>
        <v>3357.42</v>
      </c>
      <c r="J112" s="18">
        <f>IFERROR('Data Sheet'!I84,0)</f>
        <v>-179.5</v>
      </c>
      <c r="K112" s="18">
        <f>IFERROR('Data Sheet'!J84,0)</f>
        <v>-179.24</v>
      </c>
      <c r="L112" s="18">
        <f>IFERROR('Data Sheet'!K84,0)</f>
        <v>-205.14</v>
      </c>
    </row>
    <row r="113" spans="2:12" x14ac:dyDescent="0.3">
      <c r="B113" s="1" t="s">
        <v>20</v>
      </c>
      <c r="C113" s="44">
        <f>IFERROR('Data Sheet'!B85,0)</f>
        <v>-6.8</v>
      </c>
      <c r="D113" s="44">
        <f>IFERROR('Data Sheet'!C85,0)</f>
        <v>-17.41</v>
      </c>
      <c r="E113" s="44">
        <f>IFERROR('Data Sheet'!D85,0)</f>
        <v>-2.98</v>
      </c>
      <c r="F113" s="44">
        <f>IFERROR('Data Sheet'!E85,0)</f>
        <v>-1.07</v>
      </c>
      <c r="G113" s="44">
        <f>IFERROR('Data Sheet'!F85,0)</f>
        <v>34.479999999999997</v>
      </c>
      <c r="H113" s="44">
        <f>IFERROR('Data Sheet'!G85,0)</f>
        <v>57.45</v>
      </c>
      <c r="I113" s="44">
        <f>IFERROR('Data Sheet'!H85,0)</f>
        <v>-19</v>
      </c>
      <c r="J113" s="44">
        <f>IFERROR('Data Sheet'!I85,0)</f>
        <v>85.64</v>
      </c>
      <c r="K113" s="44">
        <f>IFERROR('Data Sheet'!J85,0)</f>
        <v>-96.38</v>
      </c>
      <c r="L113" s="44">
        <f>IFERROR('Data Sheet'!K85,0)</f>
        <v>112.03</v>
      </c>
    </row>
  </sheetData>
  <mergeCells count="4">
    <mergeCell ref="B2:L2"/>
    <mergeCell ref="B5:L5"/>
    <mergeCell ref="B46:L46"/>
    <mergeCell ref="B68:L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AC6B-0280-442D-BED4-453DEE2C39AB}">
  <dimension ref="B1:O41"/>
  <sheetViews>
    <sheetView showGridLines="0" workbookViewId="0">
      <pane ySplit="3" topLeftCell="A4" activePane="bottomLeft" state="frozen"/>
      <selection pane="bottomLeft"/>
    </sheetView>
  </sheetViews>
  <sheetFormatPr defaultRowHeight="14.4" x14ac:dyDescent="0.3"/>
  <cols>
    <col min="1" max="1" width="1.88671875" customWidth="1"/>
    <col min="2" max="2" width="29.33203125" style="8" customWidth="1"/>
    <col min="3" max="12" width="12.77734375" customWidth="1"/>
    <col min="13" max="13" width="14.77734375" customWidth="1"/>
    <col min="14" max="14" width="8.6640625" bestFit="1" customWidth="1"/>
    <col min="15" max="15" width="8" bestFit="1" customWidth="1"/>
  </cols>
  <sheetData>
    <row r="1" spans="2:15" x14ac:dyDescent="0.3">
      <c r="B1"/>
    </row>
    <row r="2" spans="2:15" x14ac:dyDescent="0.3">
      <c r="B2" s="72" t="str">
        <f>"Ratio Analysis - "&amp;'Data Sheet'!B1</f>
        <v>Ratio Analysis - AVENUE SUPERMARTS LTD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2:15" x14ac:dyDescent="0.3">
      <c r="B3" s="33" t="s">
        <v>55</v>
      </c>
      <c r="C3" s="34">
        <f>'Data Sheet'!B16</f>
        <v>41729</v>
      </c>
      <c r="D3" s="34">
        <f>'Data Sheet'!C16</f>
        <v>42094</v>
      </c>
      <c r="E3" s="34">
        <f>'Data Sheet'!D16</f>
        <v>42460</v>
      </c>
      <c r="F3" s="34">
        <f>'Data Sheet'!E16</f>
        <v>42825</v>
      </c>
      <c r="G3" s="34">
        <f>'Data Sheet'!F16</f>
        <v>43190</v>
      </c>
      <c r="H3" s="34">
        <f>'Data Sheet'!G16</f>
        <v>43555</v>
      </c>
      <c r="I3" s="34">
        <f>'Data Sheet'!H16</f>
        <v>43921</v>
      </c>
      <c r="J3" s="34">
        <f>'Data Sheet'!I16</f>
        <v>44286</v>
      </c>
      <c r="K3" s="34">
        <f>'Data Sheet'!J16</f>
        <v>44651</v>
      </c>
      <c r="L3" s="34">
        <f>'Data Sheet'!K16</f>
        <v>45016</v>
      </c>
      <c r="M3" s="62" t="s">
        <v>150</v>
      </c>
      <c r="N3" s="62" t="s">
        <v>148</v>
      </c>
      <c r="O3" s="62" t="s">
        <v>149</v>
      </c>
    </row>
    <row r="5" spans="2:15" x14ac:dyDescent="0.3">
      <c r="B5" s="48" t="s">
        <v>9</v>
      </c>
      <c r="C5" s="58" t="s">
        <v>147</v>
      </c>
      <c r="D5" s="50">
        <f>IFERROR('Historical FS'!D7,0)</f>
        <v>0.37404405865382984</v>
      </c>
      <c r="E5" s="50">
        <f>IFERROR('Historical FS'!E7,0)</f>
        <v>0.33299997049428276</v>
      </c>
      <c r="F5" s="50">
        <f>IFERROR('Historical FS'!F7,0)</f>
        <v>0.38607090598991589</v>
      </c>
      <c r="G5" s="50">
        <f>IFERROR('Historical FS'!G7,0)</f>
        <v>0.26353833093791246</v>
      </c>
      <c r="H5" s="50">
        <f>IFERROR('Historical FS'!H7,0)</f>
        <v>0.33068940744485542</v>
      </c>
      <c r="I5" s="50">
        <f>IFERROR('Historical FS'!I7,0)</f>
        <v>0.24322903023916598</v>
      </c>
      <c r="J5" s="50">
        <f>IFERROR('Historical FS'!J7,0)</f>
        <v>-2.9237400583831175E-2</v>
      </c>
      <c r="K5" s="50">
        <f>IFERROR('Historical FS'!K7,0)</f>
        <v>0.28302998874210639</v>
      </c>
      <c r="L5" s="50">
        <f>IFERROR('Historical FS'!L7,0)</f>
        <v>0.38297993915987938</v>
      </c>
      <c r="M5" s="49"/>
      <c r="N5" s="50">
        <f>IFERROR(AVERAGE(D5:L5),0)</f>
        <v>0.28526047011979078</v>
      </c>
      <c r="O5" s="50">
        <f>IFERROR(MEDIAN(C5:L5),0)</f>
        <v>0.33068940744485542</v>
      </c>
    </row>
    <row r="6" spans="2:15" x14ac:dyDescent="0.3">
      <c r="B6" s="8" t="s">
        <v>120</v>
      </c>
      <c r="C6" s="13" t="s">
        <v>147</v>
      </c>
      <c r="D6" s="47">
        <f>IFERROR('Historical FS'!D18/'Historical FS'!C18-1,0)</f>
        <v>0.33690811064228599</v>
      </c>
      <c r="E6" s="47">
        <f>IFERROR('Historical FS'!E18/'Historical FS'!D18-1,0)</f>
        <v>0.45631876561610074</v>
      </c>
      <c r="F6" s="47">
        <f>IFERROR('Historical FS'!F18/'Historical FS'!E18-1,0)</f>
        <v>0.45859795924510016</v>
      </c>
      <c r="G6" s="47">
        <f>IFERROR('Historical FS'!G18/'Historical FS'!F18-1,0)</f>
        <v>0.39588105408695995</v>
      </c>
      <c r="H6" s="47">
        <f>IFERROR('Historical FS'!H18/'Historical FS'!G18-1,0)</f>
        <v>0.20730156852889503</v>
      </c>
      <c r="I6" s="47">
        <f>IFERROR('Historical FS'!I18/'Historical FS'!H18-1,0)</f>
        <v>0.30306555399770918</v>
      </c>
      <c r="J6" s="47">
        <f>IFERROR('Historical FS'!J18/'Historical FS'!I18-1,0)</f>
        <v>-0.18018051881539909</v>
      </c>
      <c r="K6" s="47">
        <f>IFERROR('Historical FS'!K18/'Historical FS'!J18-1,0)</f>
        <v>0.43415117805173198</v>
      </c>
      <c r="L6" s="47">
        <f>IFERROR('Historical FS'!L18/'Historical FS'!K18-1,0)</f>
        <v>0.45344576098467249</v>
      </c>
      <c r="N6" s="47">
        <f t="shared" ref="N6:N9" si="0">IFERROR(AVERAGE(D6:L6),0)</f>
        <v>0.3183877147042285</v>
      </c>
      <c r="O6" s="47">
        <f t="shared" ref="O6:O31" si="1">IFERROR(MEDIAN(C6:L6),0)</f>
        <v>0.39588105408695995</v>
      </c>
    </row>
    <row r="7" spans="2:15" x14ac:dyDescent="0.3">
      <c r="B7" s="8" t="s">
        <v>126</v>
      </c>
      <c r="C7" s="13" t="s">
        <v>147</v>
      </c>
      <c r="D7" s="47">
        <f>IFERROR('Historical FS'!D27/'Historical FS'!C27-1,0)</f>
        <v>0.32271752920074936</v>
      </c>
      <c r="E7" s="47">
        <f>IFERROR('Historical FS'!E27/'Historical FS'!D27-1,0)</f>
        <v>0.56994972880011341</v>
      </c>
      <c r="F7" s="47">
        <f>IFERROR('Historical FS'!F27/'Historical FS'!E27-1,0)</f>
        <v>0.51547325623038032</v>
      </c>
      <c r="G7" s="47">
        <f>IFERROR('Historical FS'!G27/'Historical FS'!F27-1,0)</f>
        <v>0.57680224637882582</v>
      </c>
      <c r="H7" s="47">
        <f>IFERROR('Historical FS'!H27/'Historical FS'!G27-1,0)</f>
        <v>0.2109545807179638</v>
      </c>
      <c r="I7" s="47">
        <f>IFERROR('Historical FS'!I27/'Historical FS'!H27-1,0)</f>
        <v>0.22653446029076574</v>
      </c>
      <c r="J7" s="47">
        <f>IFERROR('Historical FS'!J27/'Historical FS'!I27-1,0)</f>
        <v>-0.23490307339830829</v>
      </c>
      <c r="K7" s="47">
        <f>IFERROR('Historical FS'!K27/'Historical FS'!J27-1,0)</f>
        <v>0.51314952444493001</v>
      </c>
      <c r="L7" s="47">
        <f>IFERROR('Historical FS'!L27/'Historical FS'!K27-1,0)</f>
        <v>0.5025788523850514</v>
      </c>
      <c r="N7" s="47">
        <f t="shared" si="0"/>
        <v>0.35591745611671904</v>
      </c>
      <c r="O7" s="47">
        <f t="shared" si="1"/>
        <v>0.5025788523850514</v>
      </c>
    </row>
    <row r="8" spans="2:15" x14ac:dyDescent="0.3">
      <c r="B8" s="8" t="s">
        <v>121</v>
      </c>
      <c r="C8" s="13" t="s">
        <v>147</v>
      </c>
      <c r="D8" s="47">
        <f>IFERROR('Historical FS'!D33/'Historical FS'!C33-1,0)</f>
        <v>0.31927503273378322</v>
      </c>
      <c r="E8" s="47">
        <f>IFERROR('Historical FS'!E33/'Historical FS'!D33-1,0)</f>
        <v>0.58389051399917613</v>
      </c>
      <c r="F8" s="47">
        <f>IFERROR('Historical FS'!F33/'Historical FS'!E33-1,0)</f>
        <v>0.48769870061341392</v>
      </c>
      <c r="G8" s="47">
        <f>IFERROR('Historical FS'!G33/'Historical FS'!F33-1,0)</f>
        <v>0.5928397251163815</v>
      </c>
      <c r="H8" s="47">
        <f>IFERROR('Historical FS'!H33/'Historical FS'!G33-1,0)</f>
        <v>0.18871863387750087</v>
      </c>
      <c r="I8" s="47">
        <f>IFERROR('Historical FS'!I33/'Historical FS'!H33-1,0)</f>
        <v>0.45292871108613242</v>
      </c>
      <c r="J8" s="47">
        <f>IFERROR('Historical FS'!J33/'Historical FS'!I33-1,0)</f>
        <v>-0.27074351928702245</v>
      </c>
      <c r="K8" s="47">
        <f>IFERROR('Historical FS'!K33/'Historical FS'!J33-1,0)</f>
        <v>0.52349171270718653</v>
      </c>
      <c r="L8" s="47">
        <f>IFERROR('Historical FS'!L33/'Historical FS'!K33-1,0)</f>
        <v>0.63117583915982123</v>
      </c>
      <c r="N8" s="47">
        <f t="shared" si="0"/>
        <v>0.38991948333404142</v>
      </c>
      <c r="O8" s="47">
        <f t="shared" si="1"/>
        <v>0.48769870061341392</v>
      </c>
    </row>
    <row r="9" spans="2:15" x14ac:dyDescent="0.3">
      <c r="B9" s="51" t="s">
        <v>122</v>
      </c>
      <c r="C9" s="13" t="s">
        <v>147</v>
      </c>
      <c r="D9" s="53">
        <f>IFERROR('Historical FS'!D41/'Historical FS'!C41-1,0)</f>
        <v>0</v>
      </c>
      <c r="E9" s="53">
        <f>IFERROR('Historical FS'!E41/'Historical FS'!D41-1,0)</f>
        <v>0</v>
      </c>
      <c r="F9" s="53">
        <f>IFERROR('Historical FS'!F41/'Historical FS'!E41-1,0)</f>
        <v>0</v>
      </c>
      <c r="G9" s="53">
        <f>IFERROR('Historical FS'!G41/'Historical FS'!F41-1,0)</f>
        <v>0</v>
      </c>
      <c r="H9" s="53">
        <f>IFERROR('Historical FS'!H41/'Historical FS'!G41-1,0)</f>
        <v>0</v>
      </c>
      <c r="I9" s="53">
        <f>IFERROR('Historical FS'!I41/'Historical FS'!H41-1,0)</f>
        <v>0</v>
      </c>
      <c r="J9" s="53">
        <f>IFERROR('Historical FS'!J41/'Historical FS'!I41-1,0)</f>
        <v>0</v>
      </c>
      <c r="K9" s="53">
        <f>IFERROR('Historical FS'!K41/'Historical FS'!J41-1,0)</f>
        <v>0</v>
      </c>
      <c r="L9" s="53">
        <f>IFERROR('Historical FS'!L41/'Historical FS'!K41-1,0)</f>
        <v>0</v>
      </c>
      <c r="M9" s="52"/>
      <c r="N9" s="53">
        <f t="shared" si="0"/>
        <v>0</v>
      </c>
      <c r="O9" s="53">
        <f t="shared" si="1"/>
        <v>0</v>
      </c>
    </row>
    <row r="10" spans="2:15" x14ac:dyDescent="0.3">
      <c r="C10" s="57"/>
    </row>
    <row r="11" spans="2:15" x14ac:dyDescent="0.3">
      <c r="B11" s="48" t="s">
        <v>123</v>
      </c>
      <c r="C11" s="50">
        <f>IFERROR('Historical FS'!C13,0)</f>
        <v>9.5139635718065566E-2</v>
      </c>
      <c r="D11" s="50">
        <f>IFERROR('Historical FS'!D13,0)</f>
        <v>9.3719475170938898E-2</v>
      </c>
      <c r="E11" s="50">
        <f>IFERROR('Historical FS'!E13,0)</f>
        <v>9.4431810768241517E-2</v>
      </c>
      <c r="F11" s="50">
        <f>IFERROR('Historical FS'!F13,0)</f>
        <v>0.10016137572808194</v>
      </c>
      <c r="G11" s="50">
        <f>IFERROR('Historical FS'!G13,0)</f>
        <v>0.10772423702205787</v>
      </c>
      <c r="H11" s="50">
        <f>IFERROR('Historical FS'!H13,0)</f>
        <v>9.9726961706654377E-2</v>
      </c>
      <c r="I11" s="50">
        <f>IFERROR('Historical FS'!I13,0)</f>
        <v>9.9554084808324825E-2</v>
      </c>
      <c r="J11" s="50">
        <f>IFERROR('Historical FS'!J13,0)</f>
        <v>8.8231152140615068E-2</v>
      </c>
      <c r="K11" s="50">
        <f>IFERROR('Historical FS'!K13,0)</f>
        <v>9.5163491278969392E-2</v>
      </c>
      <c r="L11" s="50">
        <f>IFERROR('Historical FS'!L13,0)</f>
        <v>0.13325767118056295</v>
      </c>
      <c r="M11" s="49"/>
      <c r="N11" s="50">
        <f>IFERROR(AVERAGE(C11:L11),0)</f>
        <v>0.10071098955225125</v>
      </c>
      <c r="O11" s="50">
        <f t="shared" si="1"/>
        <v>9.7358788043647115E-2</v>
      </c>
    </row>
    <row r="12" spans="2:15" x14ac:dyDescent="0.3">
      <c r="B12" s="8" t="s">
        <v>65</v>
      </c>
      <c r="C12" s="47">
        <f>IFERROR('Historical FS'!C19,0)</f>
        <v>7.2822246120755857E-2</v>
      </c>
      <c r="D12" s="47">
        <f>IFERROR('Historical FS'!D19,0)</f>
        <v>7.0854097334701854E-2</v>
      </c>
      <c r="E12" s="47">
        <f>IFERROR('Historical FS'!E19,0)</f>
        <v>7.7408967631900333E-2</v>
      </c>
      <c r="F12" s="47">
        <f>IFERROR('Historical FS'!F19,0)</f>
        <v>8.1459441740840702E-2</v>
      </c>
      <c r="G12" s="47">
        <f>IFERROR('Historical FS'!G19,0)</f>
        <v>8.9991485512066663E-2</v>
      </c>
      <c r="H12" s="47">
        <f>IFERROR('Historical FS'!H19,0)</f>
        <v>8.1647047767204689E-2</v>
      </c>
      <c r="I12" s="47">
        <f>IFERROR('Historical FS'!I19,0)</f>
        <v>8.5576714300648976E-2</v>
      </c>
      <c r="J12" s="47">
        <f>IFERROR('Historical FS'!J19,0)</f>
        <v>7.2270457845857075E-2</v>
      </c>
      <c r="K12" s="47">
        <f>IFERROR('Historical FS'!K19,0)</f>
        <v>8.0782805676732586E-2</v>
      </c>
      <c r="L12" s="47">
        <f>IFERROR('Historical FS'!L19,0)</f>
        <v>8.4898864507478536E-2</v>
      </c>
      <c r="N12" s="47">
        <f t="shared" ref="N12:N31" si="2">IFERROR(AVERAGE(C12:L12),0)</f>
        <v>7.9771212843818717E-2</v>
      </c>
      <c r="O12" s="47">
        <f t="shared" si="1"/>
        <v>8.1121123708786644E-2</v>
      </c>
    </row>
    <row r="13" spans="2:15" x14ac:dyDescent="0.3">
      <c r="B13" s="8" t="s">
        <v>124</v>
      </c>
      <c r="C13" s="47">
        <f>IFERROR(('Historical FS'!C18-'Historical FS'!C24)/'Historical FS'!C6,0)</f>
        <v>6.0657465731209753E-2</v>
      </c>
      <c r="D13" s="47">
        <f>IFERROR(('Historical FS'!D18-'Historical FS'!D24)/'Historical FS'!D6,0)</f>
        <v>5.8191485892384744E-2</v>
      </c>
      <c r="E13" s="47">
        <f>IFERROR(('Historical FS'!E18-'Historical FS'!E24)/'Historical FS'!E6,0)</f>
        <v>6.5941964826602889E-2</v>
      </c>
      <c r="F13" s="47">
        <f>IFERROR(('Historical FS'!F18-'Historical FS'!F24)/'Historical FS'!F6,0)</f>
        <v>7.0716188843221839E-2</v>
      </c>
      <c r="G13" s="47">
        <f>IFERROR(('Historical FS'!G18-'Historical FS'!G24)/'Historical FS'!G6,0)</f>
        <v>7.9414895032328486E-2</v>
      </c>
      <c r="H13" s="47">
        <f>IFERROR(('Historical FS'!H18-'Historical FS'!H24)/'Historical FS'!H6,0)</f>
        <v>7.1024948361670337E-2</v>
      </c>
      <c r="I13" s="47">
        <f>IFERROR(('Historical FS'!I18-'Historical FS'!I24)/'Historical FS'!I6,0)</f>
        <v>7.0522151008033718E-2</v>
      </c>
      <c r="J13" s="47">
        <f>IFERROR(('Historical FS'!J18-'Historical FS'!J24)/'Historical FS'!J6,0)</f>
        <v>5.5116045770502921E-2</v>
      </c>
      <c r="K13" s="47">
        <f>IFERROR(('Historical FS'!K18-'Historical FS'!K24)/'Historical FS'!K6,0)</f>
        <v>6.4703400377127435E-2</v>
      </c>
      <c r="L13" s="47">
        <f>IFERROR(('Historical FS'!L18-'Historical FS'!L24)/'Historical FS'!L6,0)</f>
        <v>6.9985779499135786E-2</v>
      </c>
      <c r="N13" s="47">
        <f t="shared" si="2"/>
        <v>6.6627432534221792E-2</v>
      </c>
      <c r="O13" s="47">
        <f t="shared" si="1"/>
        <v>6.7963872162869338E-2</v>
      </c>
    </row>
    <row r="14" spans="2:15" x14ac:dyDescent="0.3">
      <c r="B14" s="8" t="s">
        <v>125</v>
      </c>
      <c r="C14" s="47">
        <f>IFERROR('Historical FS'!C28,0)</f>
        <v>4.8776480428807951E-2</v>
      </c>
      <c r="D14" s="47">
        <f>IFERROR('Historical FS'!D28,0)</f>
        <v>4.6954466466752352E-2</v>
      </c>
      <c r="E14" s="47">
        <f>IFERROR('Historical FS'!E28,0)</f>
        <v>5.5300940380439437E-2</v>
      </c>
      <c r="F14" s="47">
        <f>IFERROR('Historical FS'!F28,0)</f>
        <v>6.0463787118518748E-2</v>
      </c>
      <c r="G14" s="47">
        <f>IFERROR('Historical FS'!G28,0)</f>
        <v>7.5454327754569922E-2</v>
      </c>
      <c r="H14" s="47">
        <f>IFERROR('Historical FS'!H28,0)</f>
        <v>6.8664981714132683E-2</v>
      </c>
      <c r="I14" s="47">
        <f>IFERROR('Historical FS'!I28,0)</f>
        <v>6.7742921247115034E-2</v>
      </c>
      <c r="J14" s="47">
        <f>IFERROR('Historical FS'!J28,0)</f>
        <v>5.3390912336712844E-2</v>
      </c>
      <c r="K14" s="47">
        <f>IFERROR('Historical FS'!K28,0)</f>
        <v>6.2966909831299933E-2</v>
      </c>
      <c r="L14" s="47">
        <f>IFERROR('Historical FS'!L28,0)</f>
        <v>6.8412233925838575E-2</v>
      </c>
      <c r="N14" s="47">
        <f t="shared" si="2"/>
        <v>6.0812796120418747E-2</v>
      </c>
      <c r="O14" s="47">
        <f t="shared" si="1"/>
        <v>6.1715348474909337E-2</v>
      </c>
    </row>
    <row r="15" spans="2:15" x14ac:dyDescent="0.3">
      <c r="B15" s="51" t="s">
        <v>72</v>
      </c>
      <c r="C15" s="53">
        <f>IFERROR('Historical FS'!C34,0)</f>
        <v>3.0963537665796046E-2</v>
      </c>
      <c r="D15" s="53">
        <f>IFERROR('Historical FS'!D34,0)</f>
        <v>2.9729339398052168E-2</v>
      </c>
      <c r="E15" s="53">
        <f>IFERROR('Historical FS'!E34,0)</f>
        <v>3.5324845988238353E-2</v>
      </c>
      <c r="F15" s="53">
        <f>IFERROR('Historical FS'!F34,0)</f>
        <v>3.7914891113408518E-2</v>
      </c>
      <c r="G15" s="53">
        <f>IFERROR('Historical FS'!G34,0)</f>
        <v>4.7796211052869693E-2</v>
      </c>
      <c r="H15" s="53">
        <f>IFERROR('Historical FS'!H34,0)</f>
        <v>4.2696850511784408E-2</v>
      </c>
      <c r="I15" s="53">
        <f>IFERROR('Historical FS'!I34,0)</f>
        <v>4.9898673914966524E-2</v>
      </c>
      <c r="J15" s="53">
        <f>IFERROR('Historical FS'!J34,0)</f>
        <v>3.7484892138776045E-2</v>
      </c>
      <c r="K15" s="53">
        <f>IFERROR('Historical FS'!K34,0)</f>
        <v>4.4510200873120014E-2</v>
      </c>
      <c r="L15" s="53">
        <f>IFERROR('Historical FS'!L34,0)</f>
        <v>5.2498204930209305E-2</v>
      </c>
      <c r="M15" s="52"/>
      <c r="N15" s="53">
        <f t="shared" si="2"/>
        <v>4.08817647587221E-2</v>
      </c>
      <c r="O15" s="53">
        <f t="shared" si="1"/>
        <v>4.0305870812596463E-2</v>
      </c>
    </row>
    <row r="17" spans="2:15" x14ac:dyDescent="0.3">
      <c r="B17" s="48" t="s">
        <v>127</v>
      </c>
      <c r="C17" s="50">
        <f>IFERROR('Historical FS'!C16,0)</f>
        <v>2.2317389597309716E-2</v>
      </c>
      <c r="D17" s="50">
        <f>IFERROR('Historical FS'!D16,0)</f>
        <v>2.2865377836237051E-2</v>
      </c>
      <c r="E17" s="50">
        <f>IFERROR('Historical FS'!E16,0)</f>
        <v>1.7022843136341184E-2</v>
      </c>
      <c r="F17" s="50">
        <f>IFERROR('Historical FS'!F16,0)</f>
        <v>1.870193398724123E-2</v>
      </c>
      <c r="G17" s="50">
        <f>IFERROR('Historical FS'!G16,0)</f>
        <v>1.7732751509991221E-2</v>
      </c>
      <c r="H17" s="50">
        <f>IFERROR('Historical FS'!H16,0)</f>
        <v>1.8079913939449684E-2</v>
      </c>
      <c r="I17" s="50">
        <f>IFERROR('Historical FS'!I16,0)</f>
        <v>1.3977370507675852E-2</v>
      </c>
      <c r="J17" s="50">
        <f>IFERROR('Historical FS'!J16,0)</f>
        <v>1.5960694294757993E-2</v>
      </c>
      <c r="K17" s="50">
        <f>IFERROR('Historical FS'!K16,0)</f>
        <v>1.438068560223681E-2</v>
      </c>
      <c r="L17" s="50">
        <f>IFERROR('Historical FS'!L16,0)</f>
        <v>4.8358806673084412E-2</v>
      </c>
      <c r="M17" s="49"/>
      <c r="N17" s="50">
        <f t="shared" si="2"/>
        <v>2.0939776708432518E-2</v>
      </c>
      <c r="O17" s="50">
        <f t="shared" si="1"/>
        <v>1.7906332724720454E-2</v>
      </c>
    </row>
    <row r="18" spans="2:15" x14ac:dyDescent="0.3">
      <c r="B18" s="8" t="s">
        <v>67</v>
      </c>
      <c r="C18" s="47">
        <f>IFERROR('Historical FS'!C25,0)</f>
        <v>1.2164780389546099E-2</v>
      </c>
      <c r="D18" s="47">
        <f>IFERROR('Historical FS'!D25,0)</f>
        <v>1.26626114423171E-2</v>
      </c>
      <c r="E18" s="47">
        <f>IFERROR('Historical FS'!E25,0)</f>
        <v>1.1467002805297445E-2</v>
      </c>
      <c r="F18" s="47">
        <f>IFERROR('Historical FS'!F25,0)</f>
        <v>1.0743252897618866E-2</v>
      </c>
      <c r="G18" s="47">
        <f>IFERROR('Historical FS'!G25,0)</f>
        <v>1.0576590479738178E-2</v>
      </c>
      <c r="H18" s="47">
        <f>IFERROR('Historical FS'!H25,0)</f>
        <v>1.062209940553435E-2</v>
      </c>
      <c r="I18" s="47">
        <f>IFERROR('Historical FS'!I25,0)</f>
        <v>1.5054563292615258E-2</v>
      </c>
      <c r="J18" s="47">
        <f>IFERROR('Historical FS'!J25,0)</f>
        <v>1.7154412075354161E-2</v>
      </c>
      <c r="K18" s="47">
        <f>IFERROR('Historical FS'!K25,0)</f>
        <v>1.6079405299605148E-2</v>
      </c>
      <c r="L18" s="47">
        <f>IFERROR('Historical FS'!L25,0)</f>
        <v>1.4913085008342757E-2</v>
      </c>
      <c r="N18" s="47">
        <f t="shared" si="2"/>
        <v>1.3143780309596936E-2</v>
      </c>
      <c r="O18" s="47">
        <f t="shared" si="1"/>
        <v>1.24136959159316E-2</v>
      </c>
    </row>
    <row r="19" spans="2:15" x14ac:dyDescent="0.3">
      <c r="B19" s="51" t="s">
        <v>128</v>
      </c>
      <c r="C19" s="54">
        <f>C13</f>
        <v>6.0657465731209753E-2</v>
      </c>
      <c r="D19" s="54">
        <f t="shared" ref="D19:K19" si="3">D13</f>
        <v>5.8191485892384744E-2</v>
      </c>
      <c r="E19" s="54">
        <f t="shared" si="3"/>
        <v>6.5941964826602889E-2</v>
      </c>
      <c r="F19" s="54">
        <f t="shared" si="3"/>
        <v>7.0716188843221839E-2</v>
      </c>
      <c r="G19" s="54">
        <f t="shared" si="3"/>
        <v>7.9414895032328486E-2</v>
      </c>
      <c r="H19" s="54">
        <f t="shared" si="3"/>
        <v>7.1024948361670337E-2</v>
      </c>
      <c r="I19" s="54">
        <f t="shared" si="3"/>
        <v>7.0522151008033718E-2</v>
      </c>
      <c r="J19" s="54">
        <f t="shared" si="3"/>
        <v>5.5116045770502921E-2</v>
      </c>
      <c r="K19" s="54">
        <f t="shared" si="3"/>
        <v>6.4703400377127435E-2</v>
      </c>
      <c r="L19" s="54">
        <f t="shared" ref="L19" si="4">L13</f>
        <v>6.9985779499135786E-2</v>
      </c>
      <c r="M19" s="52"/>
      <c r="N19" s="53">
        <f t="shared" si="2"/>
        <v>6.6627432534221792E-2</v>
      </c>
      <c r="O19" s="53">
        <f t="shared" si="1"/>
        <v>6.7963872162869338E-2</v>
      </c>
    </row>
    <row r="21" spans="2:15" x14ac:dyDescent="0.3">
      <c r="B21" s="48" t="s">
        <v>129</v>
      </c>
      <c r="C21" s="50">
        <f>IFERROR(('Historical FS'!C18-'Historical FS'!C24)/SUM('Historical FS'!C47:C49),0)</f>
        <v>0.17807052161439241</v>
      </c>
      <c r="D21" s="50">
        <f>IFERROR(('Historical FS'!D18-'Historical FS'!D24)/SUM('Historical FS'!D47:D49),0)</f>
        <v>0.17814542774964898</v>
      </c>
      <c r="E21" s="50">
        <f>IFERROR(('Historical FS'!E18-'Historical FS'!E24)/SUM('Historical FS'!E47:E49),0)</f>
        <v>0.20865311599171366</v>
      </c>
      <c r="F21" s="50">
        <f>IFERROR(('Historical FS'!F18-'Historical FS'!F24)/SUM('Historical FS'!F47:F49),0)</f>
        <v>0.15758461163866583</v>
      </c>
      <c r="G21" s="50">
        <f>IFERROR(('Historical FS'!G18-'Historical FS'!G24)/SUM('Historical FS'!G47:G49),0)</f>
        <v>0.23370984476244555</v>
      </c>
      <c r="H21" s="50">
        <f>IFERROR(('Historical FS'!H18-'Historical FS'!H24)/SUM('Historical FS'!H47:H49),0)</f>
        <v>0.22597175392836721</v>
      </c>
      <c r="I21" s="50">
        <f>IFERROR(('Historical FS'!I18-'Historical FS'!I24)/SUM('Historical FS'!I47:I49),0)</f>
        <v>0.15367657560328507</v>
      </c>
      <c r="J21" s="50">
        <f>IFERROR(('Historical FS'!J18-'Historical FS'!J24)/SUM('Historical FS'!J47:J49),0)</f>
        <v>0.1058067399148564</v>
      </c>
      <c r="K21" s="50">
        <f>IFERROR(('Historical FS'!K18-'Historical FS'!K24)/SUM('Historical FS'!K47:K49),0)</f>
        <v>0.13991823844049886</v>
      </c>
      <c r="L21" s="50">
        <f>IFERROR(('Historical FS'!L18-'Historical FS'!L24)/SUM('Historical FS'!L47:L49),0)</f>
        <v>0.17929777390788468</v>
      </c>
      <c r="M21" s="49"/>
      <c r="N21" s="50">
        <f t="shared" si="2"/>
        <v>0.17608346035517589</v>
      </c>
      <c r="O21" s="50">
        <f t="shared" si="1"/>
        <v>0.17810797468202069</v>
      </c>
    </row>
    <row r="22" spans="2:15" x14ac:dyDescent="0.3">
      <c r="B22" s="8" t="s">
        <v>130</v>
      </c>
      <c r="C22" s="47">
        <f>'Historical FS'!C44</f>
        <v>1</v>
      </c>
      <c r="D22" s="47">
        <f>'Historical FS'!D44</f>
        <v>1</v>
      </c>
      <c r="E22" s="47">
        <f>'Historical FS'!E44</f>
        <v>1</v>
      </c>
      <c r="F22" s="47">
        <f>'Historical FS'!F44</f>
        <v>1</v>
      </c>
      <c r="G22" s="47">
        <f>'Historical FS'!G44</f>
        <v>1</v>
      </c>
      <c r="H22" s="47">
        <f>'Historical FS'!H44</f>
        <v>1</v>
      </c>
      <c r="I22" s="47">
        <f>'Historical FS'!I44</f>
        <v>1</v>
      </c>
      <c r="J22" s="47">
        <f>'Historical FS'!J44</f>
        <v>1</v>
      </c>
      <c r="K22" s="47">
        <f>'Historical FS'!K44</f>
        <v>1</v>
      </c>
      <c r="L22" s="47">
        <f>'Historical FS'!L44</f>
        <v>1</v>
      </c>
      <c r="N22" s="47">
        <f t="shared" si="2"/>
        <v>1</v>
      </c>
      <c r="O22" s="47">
        <f t="shared" si="1"/>
        <v>1</v>
      </c>
    </row>
    <row r="23" spans="2:15" x14ac:dyDescent="0.3">
      <c r="B23" s="8" t="s">
        <v>131</v>
      </c>
      <c r="C23" s="47">
        <f>IFERROR('Historical FS'!C33/SUM('Historical FS'!C47:C48),0)</f>
        <v>0.15185700681268757</v>
      </c>
      <c r="D23" s="47">
        <f>IFERROR('Historical FS'!D33/SUM('Historical FS'!D47:D48),0)</f>
        <v>0.15964109106980467</v>
      </c>
      <c r="E23" s="47">
        <f>IFERROR('Historical FS'!E33/SUM('Historical FS'!E47:E48),0)</f>
        <v>0.19942911262529323</v>
      </c>
      <c r="F23" s="47">
        <f>IFERROR('Historical FS'!F33/SUM('Historical FS'!F47:F48),0)</f>
        <v>0.11741952948893498</v>
      </c>
      <c r="G23" s="47">
        <f>IFERROR('Historical FS'!G33/SUM('Historical FS'!G47:G48),0)</f>
        <v>0.15389211938188724</v>
      </c>
      <c r="H23" s="47">
        <f>IFERROR('Historical FS'!H33/SUM('Historical FS'!H47:H48),0)</f>
        <v>0.15286579745680079</v>
      </c>
      <c r="I23" s="47">
        <f>IFERROR('Historical FS'!I33/SUM('Historical FS'!I47:I48),0)</f>
        <v>0.11200533586528208</v>
      </c>
      <c r="J23" s="47">
        <f>IFERROR('Historical FS'!J33/SUM('Historical FS'!J47:J48),0)</f>
        <v>7.4279509279193148E-2</v>
      </c>
      <c r="K23" s="47">
        <f>IFERROR('Historical FS'!K33/SUM('Historical FS'!K47:K48),0)</f>
        <v>0.10080393986097026</v>
      </c>
      <c r="L23" s="47">
        <f>IFERROR('Historical FS'!L33/SUM('Historical FS'!L47:L48),0)</f>
        <v>0.13987449234079852</v>
      </c>
      <c r="N23" s="47">
        <f t="shared" si="2"/>
        <v>0.1362067934181653</v>
      </c>
      <c r="O23" s="47">
        <f t="shared" si="1"/>
        <v>0.14586574957674303</v>
      </c>
    </row>
    <row r="24" spans="2:15" x14ac:dyDescent="0.3">
      <c r="B24" s="8" t="s">
        <v>133</v>
      </c>
      <c r="C24" s="47">
        <f>IFERROR(C22*C23,0)</f>
        <v>0.15185700681268757</v>
      </c>
      <c r="D24" s="47">
        <f t="shared" ref="D24:K24" si="5">IFERROR(D22*D23,0)</f>
        <v>0.15964109106980467</v>
      </c>
      <c r="E24" s="47">
        <f t="shared" si="5"/>
        <v>0.19942911262529323</v>
      </c>
      <c r="F24" s="47">
        <f t="shared" si="5"/>
        <v>0.11741952948893498</v>
      </c>
      <c r="G24" s="47">
        <f t="shared" si="5"/>
        <v>0.15389211938188724</v>
      </c>
      <c r="H24" s="47">
        <f t="shared" si="5"/>
        <v>0.15286579745680079</v>
      </c>
      <c r="I24" s="47">
        <f t="shared" si="5"/>
        <v>0.11200533586528208</v>
      </c>
      <c r="J24" s="47">
        <f t="shared" si="5"/>
        <v>7.4279509279193148E-2</v>
      </c>
      <c r="K24" s="47">
        <f t="shared" si="5"/>
        <v>0.10080393986097026</v>
      </c>
      <c r="L24" s="47">
        <f t="shared" ref="L24" si="6">IFERROR(L22*L23,0)</f>
        <v>0.13987449234079852</v>
      </c>
      <c r="N24" s="47">
        <f t="shared" si="2"/>
        <v>0.1362067934181653</v>
      </c>
      <c r="O24" s="47">
        <f t="shared" si="1"/>
        <v>0.14586574957674303</v>
      </c>
    </row>
    <row r="25" spans="2:15" x14ac:dyDescent="0.3">
      <c r="B25" s="51" t="s">
        <v>132</v>
      </c>
      <c r="C25" s="55">
        <f>IFERROR(('Historical FS'!C18-'Historical FS'!C24)/'Historical FS'!C21,0)</f>
        <v>5.1054238505747103</v>
      </c>
      <c r="D25" s="55">
        <f>IFERROR(('Historical FS'!D18-'Historical FS'!D24)/'Historical FS'!D21,0)</f>
        <v>5.1785516860143606</v>
      </c>
      <c r="E25" s="55">
        <f>IFERROR(('Historical FS'!E18-'Historical FS'!E24)/'Historical FS'!E21,0)</f>
        <v>6.1969564265382182</v>
      </c>
      <c r="F25" s="55">
        <f>IFERROR(('Historical FS'!F18-'Historical FS'!F24)/'Historical FS'!F21,0)</f>
        <v>6.8975241842925117</v>
      </c>
      <c r="G25" s="55">
        <f>IFERROR(('Historical FS'!G18-'Historical FS'!G24)/'Historical FS'!G21,0)</f>
        <v>20.051394020826347</v>
      </c>
      <c r="H25" s="55">
        <f>IFERROR(('Historical FS'!H18-'Historical FS'!H24)/'Historical FS'!H21,0)</f>
        <v>30.095742427451842</v>
      </c>
      <c r="I25" s="55">
        <f>IFERROR(('Historical FS'!I18-'Historical FS'!I24)/'Historical FS'!I21,0)</f>
        <v>25.374710648148152</v>
      </c>
      <c r="J25" s="55">
        <f>IFERROR(('Historical FS'!J18-'Historical FS'!J24)/'Historical FS'!J21,0)</f>
        <v>31.948859543817488</v>
      </c>
      <c r="K25" s="55">
        <f>IFERROR(('Historical FS'!K18-'Historical FS'!K24)/'Historical FS'!K21,0)</f>
        <v>37.2610150585611</v>
      </c>
      <c r="L25" s="55">
        <f>IFERROR(('Historical FS'!L18-'Historical FS'!L24)/'Historical FS'!L21,0)</f>
        <v>44.476487168075913</v>
      </c>
      <c r="M25" s="52"/>
      <c r="N25" s="55">
        <f t="shared" si="2"/>
        <v>21.258666501430064</v>
      </c>
      <c r="O25" s="55">
        <f t="shared" si="1"/>
        <v>22.713052334487251</v>
      </c>
    </row>
    <row r="27" spans="2:15" x14ac:dyDescent="0.3">
      <c r="B27" s="48" t="s">
        <v>134</v>
      </c>
      <c r="C27" s="56">
        <f>IFERROR('Historical FS'!C6/'Historical FS'!C59,0)</f>
        <v>491.24528301886789</v>
      </c>
      <c r="D27" s="56">
        <f>IFERROR('Historical FS'!D6/'Historical FS'!D59,0)</f>
        <v>910.81046676096184</v>
      </c>
      <c r="E27" s="56">
        <f>IFERROR('Historical FS'!E6/'Historical FS'!E59,0)</f>
        <v>1019.4489311163895</v>
      </c>
      <c r="F27" s="56">
        <f>IFERROR('Historical FS'!F6/'Historical FS'!F59,0)</f>
        <v>566.55714285714294</v>
      </c>
      <c r="G27" s="56">
        <f>IFERROR('Historical FS'!G6/'Historical FS'!G59,0)</f>
        <v>448.48448687350833</v>
      </c>
      <c r="H27" s="56">
        <f>IFERROR('Historical FS'!H6/'Historical FS'!H59,0)</f>
        <v>310.77396302625448</v>
      </c>
      <c r="I27" s="56">
        <f>IFERROR('Historical FS'!I6/'Historical FS'!I59,0)</f>
        <v>1272.1329923273656</v>
      </c>
      <c r="J27" s="56">
        <f>IFERROR('Historical FS'!J6/'Historical FS'!J59,0)</f>
        <v>553.99403396053242</v>
      </c>
      <c r="K27" s="56">
        <f>IFERROR('Historical FS'!K6/'Historical FS'!K59,0)</f>
        <v>463.09268949020782</v>
      </c>
      <c r="L27" s="56">
        <f>IFERROR('Historical FS'!L6/'Historical FS'!L59,0)</f>
        <v>689.18211068211065</v>
      </c>
      <c r="M27" s="49"/>
      <c r="N27" s="56">
        <f t="shared" si="2"/>
        <v>672.57221001133416</v>
      </c>
      <c r="O27" s="56">
        <f t="shared" si="1"/>
        <v>560.27558840883762</v>
      </c>
    </row>
    <row r="28" spans="2:15" x14ac:dyDescent="0.3">
      <c r="B28" s="8" t="s">
        <v>135</v>
      </c>
      <c r="C28" s="45">
        <f>IFERROR('Historical FS'!C6/'Historical FS'!C50,0)</f>
        <v>22.183470604941778</v>
      </c>
      <c r="D28" s="45">
        <f>IFERROR('Historical FS'!D6/'Historical FS'!D50,0)</f>
        <v>25.618356142584339</v>
      </c>
      <c r="E28" s="45">
        <f>IFERROR('Historical FS'!E6/'Historical FS'!E50,0)</f>
        <v>22.078707752456403</v>
      </c>
      <c r="F28" s="45">
        <f>IFERROR('Historical FS'!F6/'Historical FS'!F50,0)</f>
        <v>24.777583406222668</v>
      </c>
      <c r="G28" s="45">
        <f>IFERROR('Historical FS'!G6/'Historical FS'!G50,0)</f>
        <v>27.843384205067419</v>
      </c>
      <c r="H28" s="45">
        <f>IFERROR('Historical FS'!H6/'Historical FS'!H50,0)</f>
        <v>27.865329433068673</v>
      </c>
      <c r="I28" s="45">
        <f>IFERROR('Historical FS'!I6/'Historical FS'!I50,0)</f>
        <v>37.498605310374984</v>
      </c>
      <c r="J28" s="45">
        <f>IFERROR('Historical FS'!J6/'Historical FS'!J50,0)</f>
        <v>22.383078534808043</v>
      </c>
      <c r="K28" s="45">
        <f>IFERROR('Historical FS'!K6/'Historical FS'!K50,0)</f>
        <v>27.020472784368454</v>
      </c>
      <c r="L28" s="45">
        <f>IFERROR('Historical FS'!L6/'Historical FS'!L50,0)</f>
        <v>30.93980254367656</v>
      </c>
      <c r="N28" s="45">
        <f t="shared" si="2"/>
        <v>26.820879071756934</v>
      </c>
      <c r="O28" s="45">
        <f t="shared" si="1"/>
        <v>26.319414463476399</v>
      </c>
    </row>
    <row r="29" spans="2:15" x14ac:dyDescent="0.3">
      <c r="B29" s="8" t="s">
        <v>136</v>
      </c>
      <c r="C29" s="45">
        <f>IFERROR('Historical FS'!C6/'Historical FS'!C60,0)</f>
        <v>12.387280945206564</v>
      </c>
      <c r="D29" s="45">
        <f>IFERROR('Historical FS'!D6/'Historical FS'!D60,0)</f>
        <v>11.933489001315765</v>
      </c>
      <c r="E29" s="45">
        <f>IFERROR('Historical FS'!E6/'Historical FS'!E60,0)</f>
        <v>12.779347615715583</v>
      </c>
      <c r="F29" s="45">
        <f>IFERROR('Historical FS'!F6/'Historical FS'!F60,0)</f>
        <v>12.551640468403841</v>
      </c>
      <c r="G29" s="45">
        <f>IFERROR('Historical FS'!G6/'Historical FS'!G60,0)</f>
        <v>12.921225665047919</v>
      </c>
      <c r="H29" s="45">
        <f>IFERROR('Historical FS'!H6/'Historical FS'!H60,0)</f>
        <v>12.435595064184254</v>
      </c>
      <c r="I29" s="45">
        <f>IFERROR('Historical FS'!I6/'Historical FS'!I60,0)</f>
        <v>12.770976686864538</v>
      </c>
      <c r="J29" s="45">
        <f>IFERROR('Historical FS'!J6/'Historical FS'!J60,0)</f>
        <v>10.738457843329122</v>
      </c>
      <c r="K29" s="45">
        <f>IFERROR('Historical FS'!K6/'Historical FS'!K60,0)</f>
        <v>11.294243544588101</v>
      </c>
      <c r="L29" s="45">
        <f>IFERROR('Historical FS'!L6/'Historical FS'!L60,0)</f>
        <v>13.2079001566219</v>
      </c>
      <c r="N29" s="45">
        <f t="shared" si="2"/>
        <v>12.302015699127759</v>
      </c>
      <c r="O29" s="45">
        <f t="shared" si="1"/>
        <v>12.493617766294047</v>
      </c>
    </row>
    <row r="30" spans="2:15" x14ac:dyDescent="0.3">
      <c r="B30" s="8" t="s">
        <v>137</v>
      </c>
      <c r="C30" s="45">
        <f>IFERROR('Historical FS'!C6/'Historical FS'!C53,0)</f>
        <v>3.9997610289411014</v>
      </c>
      <c r="D30" s="45">
        <f>IFERROR('Historical FS'!D6/'Historical FS'!D53,0)</f>
        <v>4.2140660174859956</v>
      </c>
      <c r="E30" s="45">
        <f>IFERROR('Historical FS'!E6/'Historical FS'!E53,0)</f>
        <v>4.1001566739271658</v>
      </c>
      <c r="F30" s="45">
        <f>IFERROR('Historical FS'!F6/'Historical FS'!F53,0)</f>
        <v>4.6155368053535062</v>
      </c>
      <c r="G30" s="45">
        <f>IFERROR('Historical FS'!G6/'Historical FS'!G53,0)</f>
        <v>4.4215684256037555</v>
      </c>
      <c r="H30" s="45">
        <f>IFERROR('Historical FS'!H6/'Historical FS'!H53,0)</f>
        <v>4.5460995325393094</v>
      </c>
      <c r="I30" s="45">
        <f>IFERROR('Historical FS'!I6/'Historical FS'!I53,0)</f>
        <v>4.1812499264462355</v>
      </c>
      <c r="J30" s="45">
        <f>IFERROR('Historical FS'!J6/'Historical FS'!J53,0)</f>
        <v>3.4446781189361948</v>
      </c>
      <c r="K30" s="45">
        <f>IFERROR('Historical FS'!K6/'Historical FS'!K53,0)</f>
        <v>3.3451623214636683</v>
      </c>
      <c r="L30" s="45">
        <f>IFERROR('Historical FS'!L6/'Historical FS'!L53,0)</f>
        <v>3.7775790795451338</v>
      </c>
      <c r="N30" s="45">
        <f t="shared" si="2"/>
        <v>4.0645857930242064</v>
      </c>
      <c r="O30" s="45">
        <f t="shared" si="1"/>
        <v>4.1407033001867006</v>
      </c>
    </row>
    <row r="31" spans="2:15" x14ac:dyDescent="0.3">
      <c r="B31" s="51" t="s">
        <v>138</v>
      </c>
      <c r="C31" s="55">
        <f>IFERROR('Historical FS'!C6/SUM('Historical FS'!C47:C48),0)</f>
        <v>4.9043816779513794</v>
      </c>
      <c r="D31" s="55">
        <f>IFERROR('Historical FS'!D6/SUM('Historical FS'!D47:D48),0)</f>
        <v>5.3698162926642148</v>
      </c>
      <c r="E31" s="55">
        <f>IFERROR('Historical FS'!E6/SUM('Historical FS'!E47:E48),0)</f>
        <v>5.6455762805503671</v>
      </c>
      <c r="F31" s="55">
        <f>IFERROR('Historical FS'!F6/SUM('Historical FS'!F47:F48),0)</f>
        <v>3.0969238217701172</v>
      </c>
      <c r="G31" s="55">
        <f>IFERROR('Historical FS'!G6/SUM('Historical FS'!G47:G48),0)</f>
        <v>3.2197556248059027</v>
      </c>
      <c r="H31" s="55">
        <f>IFERROR('Historical FS'!H6/SUM('Historical FS'!H47:H48),0)</f>
        <v>3.5802593311796977</v>
      </c>
      <c r="I31" s="55">
        <f>IFERROR('Historical FS'!I6/SUM('Historical FS'!I47:I48),0)</f>
        <v>2.2446555605095426</v>
      </c>
      <c r="J31" s="55">
        <f>IFERROR('Historical FS'!J6/SUM('Historical FS'!J47:J48),0)</f>
        <v>1.9815852478432268</v>
      </c>
      <c r="K31" s="55">
        <f>IFERROR('Historical FS'!K6/SUM('Historical FS'!K47:K48),0)</f>
        <v>2.2647379226240782</v>
      </c>
      <c r="L31" s="55">
        <f>IFERROR('Historical FS'!L6/SUM('Historical FS'!L47:L48),0)</f>
        <v>2.6643671441099093</v>
      </c>
      <c r="M31" s="52"/>
      <c r="N31" s="55">
        <f t="shared" si="2"/>
        <v>3.4972058904008434</v>
      </c>
      <c r="O31" s="55">
        <f t="shared" si="1"/>
        <v>3.1583397232880097</v>
      </c>
    </row>
    <row r="32" spans="2:15" x14ac:dyDescent="0.3">
      <c r="C32" s="45"/>
      <c r="D32" s="45"/>
      <c r="E32" s="45"/>
      <c r="F32" s="45"/>
      <c r="G32" s="45"/>
      <c r="H32" s="45"/>
      <c r="I32" s="45"/>
      <c r="J32" s="45"/>
      <c r="K32" s="45"/>
      <c r="L32" s="45"/>
    </row>
    <row r="33" spans="2:15" x14ac:dyDescent="0.3">
      <c r="B33" s="46" t="s">
        <v>142</v>
      </c>
    </row>
    <row r="34" spans="2:15" x14ac:dyDescent="0.3">
      <c r="B34" s="48" t="s">
        <v>139</v>
      </c>
      <c r="C34" s="60">
        <f>IFERROR(365/C27,0)</f>
        <v>0.74300967890613001</v>
      </c>
      <c r="D34" s="60">
        <f t="shared" ref="D34:L34" si="7">IFERROR(365/D27,0)</f>
        <v>0.40074199113896725</v>
      </c>
      <c r="E34" s="60">
        <f t="shared" si="7"/>
        <v>0.35803657138596606</v>
      </c>
      <c r="F34" s="60">
        <f t="shared" si="7"/>
        <v>0.64424216445195281</v>
      </c>
      <c r="G34" s="60">
        <f t="shared" si="7"/>
        <v>0.81385200755660803</v>
      </c>
      <c r="H34" s="60">
        <f t="shared" si="7"/>
        <v>1.1744870659231013</v>
      </c>
      <c r="I34" s="60">
        <f t="shared" si="7"/>
        <v>0.28691968701498183</v>
      </c>
      <c r="J34" s="60">
        <f t="shared" si="7"/>
        <v>0.65885186053466294</v>
      </c>
      <c r="K34" s="60">
        <f t="shared" si="7"/>
        <v>0.7881791448744474</v>
      </c>
      <c r="L34" s="60">
        <f t="shared" si="7"/>
        <v>0.52961328267610597</v>
      </c>
      <c r="M34" s="49"/>
      <c r="N34" s="60">
        <f t="shared" ref="N34:N41" si="8">IFERROR(AVERAGE(C34:L34),0)</f>
        <v>0.63979334544629229</v>
      </c>
      <c r="O34" s="60">
        <f t="shared" ref="O34:O37" si="9">IFERROR(MEDIAN(C34:L34),0)</f>
        <v>0.65154701249330782</v>
      </c>
    </row>
    <row r="35" spans="2:15" x14ac:dyDescent="0.3">
      <c r="B35" s="8" t="s">
        <v>140</v>
      </c>
      <c r="C35" s="59">
        <f>IFERROR(365/C28,0)</f>
        <v>16.453692323449584</v>
      </c>
      <c r="D35" s="59">
        <f t="shared" ref="D35:L35" si="10">IFERROR(365/D28,0)</f>
        <v>14.247596448754006</v>
      </c>
      <c r="E35" s="59">
        <f t="shared" si="10"/>
        <v>16.531764634612337</v>
      </c>
      <c r="F35" s="59">
        <f t="shared" si="10"/>
        <v>14.731057263168511</v>
      </c>
      <c r="G35" s="59">
        <f t="shared" si="10"/>
        <v>13.109038661096772</v>
      </c>
      <c r="H35" s="59">
        <f t="shared" si="10"/>
        <v>13.098714690479952</v>
      </c>
      <c r="I35" s="59">
        <f t="shared" si="10"/>
        <v>9.7336953462376652</v>
      </c>
      <c r="J35" s="59">
        <f t="shared" si="10"/>
        <v>16.306961503637069</v>
      </c>
      <c r="K35" s="59">
        <f t="shared" si="10"/>
        <v>13.508275851159615</v>
      </c>
      <c r="L35" s="59">
        <f t="shared" si="10"/>
        <v>11.797101790961438</v>
      </c>
      <c r="N35" s="59">
        <f t="shared" si="8"/>
        <v>13.951789851355695</v>
      </c>
      <c r="O35" s="59">
        <f t="shared" si="9"/>
        <v>13.87793614995681</v>
      </c>
    </row>
    <row r="36" spans="2:15" x14ac:dyDescent="0.3">
      <c r="B36" s="8" t="s">
        <v>141</v>
      </c>
      <c r="C36" s="59">
        <f>IFERROR(365/C29,0)</f>
        <v>29.465707738003793</v>
      </c>
      <c r="D36" s="59">
        <f t="shared" ref="D36:L36" si="11">IFERROR(365/D29,0)</f>
        <v>30.586193187906382</v>
      </c>
      <c r="E36" s="59">
        <f t="shared" si="11"/>
        <v>28.561708388864552</v>
      </c>
      <c r="F36" s="59">
        <f t="shared" si="11"/>
        <v>29.079864175428863</v>
      </c>
      <c r="G36" s="59">
        <f t="shared" si="11"/>
        <v>28.248094218130536</v>
      </c>
      <c r="H36" s="59">
        <f t="shared" si="11"/>
        <v>29.351229122218378</v>
      </c>
      <c r="I36" s="59">
        <f t="shared" si="11"/>
        <v>28.580429590433528</v>
      </c>
      <c r="J36" s="59">
        <f t="shared" si="11"/>
        <v>33.989983042746033</v>
      </c>
      <c r="K36" s="59">
        <f t="shared" si="11"/>
        <v>32.317348086131737</v>
      </c>
      <c r="L36" s="59">
        <f t="shared" si="11"/>
        <v>27.634975709367698</v>
      </c>
      <c r="N36" s="59">
        <f t="shared" si="8"/>
        <v>29.781553325923152</v>
      </c>
      <c r="O36" s="59">
        <f t="shared" si="9"/>
        <v>29.215546648823619</v>
      </c>
    </row>
    <row r="37" spans="2:15" x14ac:dyDescent="0.3">
      <c r="B37" s="51" t="s">
        <v>146</v>
      </c>
      <c r="C37" s="61">
        <f>IFERROR(SUM(C34,C36)-C35,0)</f>
        <v>13.75502509346034</v>
      </c>
      <c r="D37" s="61">
        <f t="shared" ref="D37:L37" si="12">IFERROR(SUM(D34,D36)-D35,0)</f>
        <v>16.739338730291344</v>
      </c>
      <c r="E37" s="61">
        <f t="shared" si="12"/>
        <v>12.387980325638182</v>
      </c>
      <c r="F37" s="61">
        <f t="shared" si="12"/>
        <v>14.993049076712305</v>
      </c>
      <c r="G37" s="61">
        <f t="shared" si="12"/>
        <v>15.952907564590372</v>
      </c>
      <c r="H37" s="61">
        <f t="shared" si="12"/>
        <v>17.427001497661529</v>
      </c>
      <c r="I37" s="61">
        <f t="shared" si="12"/>
        <v>19.133653931210844</v>
      </c>
      <c r="J37" s="61">
        <f t="shared" si="12"/>
        <v>18.341873399643625</v>
      </c>
      <c r="K37" s="61">
        <f t="shared" si="12"/>
        <v>19.597251379846568</v>
      </c>
      <c r="L37" s="61">
        <f t="shared" si="12"/>
        <v>16.367487201082366</v>
      </c>
      <c r="M37" s="52"/>
      <c r="N37" s="61">
        <f t="shared" si="8"/>
        <v>16.469556820013747</v>
      </c>
      <c r="O37" s="61">
        <f t="shared" si="9"/>
        <v>16.553412965686853</v>
      </c>
    </row>
    <row r="39" spans="2:15" x14ac:dyDescent="0.3">
      <c r="B39" s="48" t="s">
        <v>143</v>
      </c>
      <c r="C39" s="50">
        <f>IFERROR('Historical FS'!C110/'Historical FS'!C6,0)</f>
        <v>4.2279066591556988E-2</v>
      </c>
      <c r="D39" s="50">
        <f>IFERROR('Historical FS'!D110/'Historical FS'!D6,0)</f>
        <v>3.4478206922041239E-2</v>
      </c>
      <c r="E39" s="50">
        <f>IFERROR('Historical FS'!E110/'Historical FS'!E6,0)</f>
        <v>5.0498848989254129E-2</v>
      </c>
      <c r="F39" s="50">
        <f>IFERROR('Historical FS'!F110/'Historical FS'!F6,0)</f>
        <v>3.8266219521420099E-2</v>
      </c>
      <c r="G39" s="50">
        <f>IFERROR('Historical FS'!G110/'Historical FS'!G6,0)</f>
        <v>4.8558523800654549E-2</v>
      </c>
      <c r="H39" s="50">
        <f>IFERROR('Historical FS'!H110/'Historical FS'!H6,0)</f>
        <v>4.0332884768042421E-2</v>
      </c>
      <c r="I39" s="50">
        <f>IFERROR('Historical FS'!I110/'Historical FS'!I6,0)</f>
        <v>5.1472847021736857E-2</v>
      </c>
      <c r="J39" s="50">
        <f>IFERROR('Historical FS'!J110/'Historical FS'!J6,0)</f>
        <v>5.6957982956592913E-2</v>
      </c>
      <c r="K39" s="50">
        <f>IFERROR('Historical FS'!K110/'Historical FS'!K6,0)</f>
        <v>4.4303268276006114E-2</v>
      </c>
      <c r="L39" s="50">
        <f>IFERROR('Historical FS'!L110/'Historical FS'!L6,0)</f>
        <v>6.1398156283584616E-2</v>
      </c>
      <c r="M39" s="49"/>
      <c r="N39" s="50">
        <f t="shared" si="8"/>
        <v>4.6854600513088998E-2</v>
      </c>
      <c r="O39" s="50">
        <f t="shared" ref="O39:O41" si="13">IFERROR(MEDIAN(C39:L39),0)</f>
        <v>4.6430896038330331E-2</v>
      </c>
    </row>
    <row r="40" spans="2:15" x14ac:dyDescent="0.3">
      <c r="B40" s="8" t="s">
        <v>144</v>
      </c>
      <c r="C40" s="47">
        <f>IFERROR('Historical FS'!C110/'Historical FS'!C64,0)</f>
        <v>0.10961192708765524</v>
      </c>
      <c r="D40" s="47">
        <f>IFERROR('Historical FS'!D110/'Historical FS'!D64,0)</f>
        <v>9.4283615238596769E-2</v>
      </c>
      <c r="E40" s="47">
        <f>IFERROR('Historical FS'!E110/'Historical FS'!E64,0)</f>
        <v>0.13975870207250546</v>
      </c>
      <c r="F40" s="47">
        <f>IFERROR('Historical FS'!F110/'Historical FS'!F64,0)</f>
        <v>7.8236482863859438E-2</v>
      </c>
      <c r="G40" s="47">
        <f>IFERROR('Historical FS'!G110/'Historical FS'!G64,0)</f>
        <v>0.12924248701360785</v>
      </c>
      <c r="H40" s="47">
        <f>IFERROR('Historical FS'!H110/'Historical FS'!H64,0)</f>
        <v>0.11517236457069446</v>
      </c>
      <c r="I40" s="47">
        <f>IFERROR('Historical FS'!I110/'Historical FS'!I64,0)</f>
        <v>0.1060055514335683</v>
      </c>
      <c r="J40" s="47">
        <f>IFERROR('Historical FS'!J110/'Historical FS'!J64,0)</f>
        <v>0.10070559975979583</v>
      </c>
      <c r="K40" s="47">
        <f>IFERROR('Historical FS'!K110/'Historical FS'!K64,0)</f>
        <v>8.870478793198619E-2</v>
      </c>
      <c r="L40" s="47">
        <f>IFERROR('Historical FS'!L110/'Historical FS'!L64,0)</f>
        <v>0.14526830178904679</v>
      </c>
      <c r="N40" s="47">
        <f t="shared" si="8"/>
        <v>0.11069898197613164</v>
      </c>
      <c r="O40" s="47">
        <f t="shared" si="13"/>
        <v>0.10780873926061177</v>
      </c>
    </row>
    <row r="41" spans="2:15" x14ac:dyDescent="0.3">
      <c r="B41" s="51" t="s">
        <v>145</v>
      </c>
      <c r="C41" s="53">
        <f>IFERROR('Historical FS'!C110/'Historical FS'!C49,0)</f>
        <v>0.30919759058706026</v>
      </c>
      <c r="D41" s="53">
        <f>IFERROR('Historical FS'!D110/'Historical FS'!D49,0)</f>
        <v>0.24552672903810852</v>
      </c>
      <c r="E41" s="53">
        <f>IFERROR('Historical FS'!E110/'Historical FS'!E49,0)</f>
        <v>0.36354563295704251</v>
      </c>
      <c r="F41" s="53">
        <f>IFERROR('Historical FS'!F110/'Historical FS'!F49,0)</f>
        <v>0.30406325969064729</v>
      </c>
      <c r="G41" s="53">
        <f>IFERROR('Historical FS'!G110/'Historical FS'!G49,0)</f>
        <v>1.661900967558338</v>
      </c>
      <c r="H41" s="53">
        <f>IFERROR('Historical FS'!H110/'Historical FS'!H49,0)</f>
        <v>1.15238163250732</v>
      </c>
      <c r="I41" s="53">
        <f>IFERROR('Historical FS'!I110/'Historical FS'!I49,0)</f>
        <v>3.8420720909991299</v>
      </c>
      <c r="J41" s="53">
        <f>IFERROR('Historical FS'!J110/'Historical FS'!J49,0)</f>
        <v>3.5016678974306745</v>
      </c>
      <c r="K41" s="53">
        <f>IFERROR('Historical FS'!K110/'Historical FS'!K49,0)</f>
        <v>2.1212940921878376</v>
      </c>
      <c r="L41" s="53">
        <f>IFERROR('Historical FS'!L110/'Historical FS'!L49,0)</f>
        <v>4.0907493234626271</v>
      </c>
      <c r="M41" s="52"/>
      <c r="N41" s="53">
        <f t="shared" si="8"/>
        <v>1.7592399216418788</v>
      </c>
      <c r="O41" s="53">
        <f t="shared" si="13"/>
        <v>1.407141300032829</v>
      </c>
    </row>
  </sheetData>
  <mergeCells count="1">
    <mergeCell ref="B2:O2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D2B7EFEC-7A17-42C4-8E0A-064E71B28D53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  <x14:sparklineGroup displayEmptyCellsAs="gap" markers="1" xr2:uid="{FBE68D59-851C-4329-885F-1B380244643D}">
          <x14:colorSeries rgb="FF376092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935E-1B75-443C-A002-D154F8373BFB}">
  <dimension ref="B4:AG24"/>
  <sheetViews>
    <sheetView showGridLines="0" workbookViewId="0"/>
  </sheetViews>
  <sheetFormatPr defaultRowHeight="14.4" x14ac:dyDescent="0.3"/>
  <cols>
    <col min="1" max="1" width="1.88671875" customWidth="1"/>
    <col min="2" max="2" width="10" customWidth="1"/>
    <col min="3" max="3" width="10.77734375" customWidth="1"/>
    <col min="4" max="4" width="12.6640625" customWidth="1"/>
    <col min="5" max="5" width="11.6640625" bestFit="1" customWidth="1"/>
    <col min="6" max="6" width="1.88671875" customWidth="1"/>
    <col min="7" max="7" width="9.88671875" customWidth="1"/>
    <col min="8" max="8" width="8.6640625" customWidth="1"/>
    <col min="9" max="9" width="12.77734375" customWidth="1"/>
    <col min="10" max="10" width="13.6640625" bestFit="1" customWidth="1"/>
    <col min="11" max="11" width="1.88671875" customWidth="1"/>
    <col min="12" max="12" width="13.88671875" customWidth="1"/>
    <col min="13" max="13" width="11.21875" customWidth="1"/>
    <col min="14" max="14" width="12" customWidth="1"/>
    <col min="15" max="15" width="13.6640625" bestFit="1" customWidth="1"/>
    <col min="24" max="24" width="2" customWidth="1"/>
    <col min="27" max="27" width="9.6640625" bestFit="1" customWidth="1"/>
    <col min="28" max="28" width="12" customWidth="1"/>
    <col min="29" max="29" width="11.6640625" bestFit="1" customWidth="1"/>
    <col min="33" max="33" width="10.33203125" customWidth="1"/>
    <col min="34" max="34" width="9.44140625" customWidth="1"/>
    <col min="35" max="35" width="11.77734375" customWidth="1"/>
  </cols>
  <sheetData>
    <row r="4" spans="2:15" x14ac:dyDescent="0.3">
      <c r="B4" s="74" t="str">
        <f>'Data Sheet'!B1&amp;" - "&amp;'Data Sheet'!A17 &amp; " Forecasting"</f>
        <v>AVENUE SUPERMARTS LTD - Sales Forecasting</v>
      </c>
      <c r="C4" s="74"/>
      <c r="D4" s="74"/>
      <c r="E4" s="74"/>
      <c r="G4" s="74" t="str">
        <f>'Data Sheet'!B1&amp; " - "&amp;'Historical FS'!B18 &amp; " Forecasting"</f>
        <v>AVENUE SUPERMARTS LTD - EBITDA Forecasting</v>
      </c>
      <c r="H4" s="74"/>
      <c r="I4" s="74"/>
      <c r="J4" s="74"/>
      <c r="L4" s="74" t="str">
        <f>'Data Sheet'!B1&amp; " - "&amp;'Historical FS'!B38 &amp; " Forecasting"</f>
        <v>AVENUE SUPERMARTS LTD - Earnings Per Share Forecasting</v>
      </c>
      <c r="M4" s="74"/>
      <c r="N4" s="74"/>
      <c r="O4" s="74"/>
    </row>
    <row r="5" spans="2:15" x14ac:dyDescent="0.3">
      <c r="B5" s="63" t="s">
        <v>151</v>
      </c>
      <c r="C5" s="63" t="s">
        <v>152</v>
      </c>
      <c r="D5" s="63" t="s">
        <v>0</v>
      </c>
      <c r="E5" s="63" t="s">
        <v>9</v>
      </c>
      <c r="G5" s="63" t="s">
        <v>151</v>
      </c>
      <c r="H5" s="63" t="s">
        <v>152</v>
      </c>
      <c r="I5" s="63" t="s">
        <v>64</v>
      </c>
      <c r="J5" s="63" t="s">
        <v>120</v>
      </c>
      <c r="L5" s="63" t="s">
        <v>151</v>
      </c>
      <c r="M5" s="63" t="s">
        <v>152</v>
      </c>
      <c r="N5" s="63" t="s">
        <v>0</v>
      </c>
      <c r="O5" s="63" t="s">
        <v>9</v>
      </c>
    </row>
    <row r="6" spans="2:15" x14ac:dyDescent="0.3">
      <c r="B6" s="8">
        <v>1</v>
      </c>
      <c r="C6" s="64">
        <f>'Data Sheet'!$B$16</f>
        <v>41729</v>
      </c>
      <c r="D6" s="67">
        <f t="array" ref="D6:D15">TRANSPOSE('Data Sheet'!B17:K17)</f>
        <v>4686.4799999999996</v>
      </c>
      <c r="E6" s="13" t="s">
        <v>73</v>
      </c>
      <c r="G6" s="8">
        <v>1</v>
      </c>
      <c r="H6" s="64">
        <f>'Data Sheet'!$B$16</f>
        <v>41729</v>
      </c>
      <c r="I6" s="67">
        <f t="array" ref="I6:I15">TRANSPOSE('Historical FS'!C18:L18)</f>
        <v>341.27999999999986</v>
      </c>
      <c r="J6" s="13" t="s">
        <v>73</v>
      </c>
      <c r="L6" s="8">
        <v>1</v>
      </c>
      <c r="M6" s="64">
        <f>'Data Sheet'!$B$16</f>
        <v>41729</v>
      </c>
      <c r="N6" s="67">
        <f t="array" ref="N6:N15">TRANSPOSE('Historical FS'!C38:L38)</f>
        <v>2.6538039502560324</v>
      </c>
      <c r="O6" s="13" t="s">
        <v>73</v>
      </c>
    </row>
    <row r="7" spans="2:15" x14ac:dyDescent="0.3">
      <c r="B7" s="8">
        <f t="shared" ref="B7:B20" si="0">B6+1</f>
        <v>2</v>
      </c>
      <c r="C7" s="64">
        <f t="shared" ref="C7:C20" si="1">C6+365</f>
        <v>42094</v>
      </c>
      <c r="D7" s="67">
        <v>6439.43</v>
      </c>
      <c r="E7" s="66">
        <f>D7/D6-1</f>
        <v>0.37404405865382984</v>
      </c>
      <c r="G7" s="8">
        <f t="shared" ref="G7:G20" si="2">G6+1</f>
        <v>2</v>
      </c>
      <c r="H7" s="64">
        <f t="shared" ref="H7:H20" si="3">H6+365</f>
        <v>42094</v>
      </c>
      <c r="I7" s="67">
        <v>456.25999999999914</v>
      </c>
      <c r="J7" s="66">
        <f>I7/I6-1</f>
        <v>0.33690811064228599</v>
      </c>
      <c r="L7" s="8">
        <f t="shared" ref="L7:L20" si="4">L6+1</f>
        <v>2</v>
      </c>
      <c r="M7" s="64">
        <f t="shared" ref="M7:M20" si="5">M6+365</f>
        <v>42094</v>
      </c>
      <c r="N7" s="67">
        <v>3.4094390026713999</v>
      </c>
      <c r="O7" s="66">
        <f>N7/N6-1</f>
        <v>0.28473657684565046</v>
      </c>
    </row>
    <row r="8" spans="2:15" x14ac:dyDescent="0.3">
      <c r="B8" s="8">
        <f t="shared" si="0"/>
        <v>3</v>
      </c>
      <c r="C8" s="64">
        <f t="shared" si="1"/>
        <v>42459</v>
      </c>
      <c r="D8" s="67">
        <v>8583.76</v>
      </c>
      <c r="E8" s="66">
        <f t="shared" ref="E8:E20" si="6">D8/D7-1</f>
        <v>0.33299997049428276</v>
      </c>
      <c r="G8" s="8">
        <f t="shared" si="2"/>
        <v>3</v>
      </c>
      <c r="H8" s="64">
        <f t="shared" si="3"/>
        <v>42459</v>
      </c>
      <c r="I8" s="67">
        <v>664.46000000000083</v>
      </c>
      <c r="J8" s="66">
        <f t="shared" ref="J8:J20" si="7">I8/I7-1</f>
        <v>0.45631876561610074</v>
      </c>
      <c r="L8" s="8">
        <f t="shared" si="4"/>
        <v>3</v>
      </c>
      <c r="M8" s="64">
        <f t="shared" si="5"/>
        <v>42459</v>
      </c>
      <c r="N8" s="67">
        <v>5.4001780943900419</v>
      </c>
      <c r="O8" s="66">
        <f t="shared" ref="O8:O20" si="8">N8/N7-1</f>
        <v>0.58389051399917613</v>
      </c>
    </row>
    <row r="9" spans="2:15" x14ac:dyDescent="0.3">
      <c r="B9" s="8">
        <f t="shared" si="0"/>
        <v>4</v>
      </c>
      <c r="C9" s="64">
        <f t="shared" si="1"/>
        <v>42824</v>
      </c>
      <c r="D9" s="67">
        <v>11897.7</v>
      </c>
      <c r="E9" s="66">
        <f t="shared" si="6"/>
        <v>0.38607090598991589</v>
      </c>
      <c r="G9" s="8">
        <f t="shared" si="2"/>
        <v>4</v>
      </c>
      <c r="H9" s="64">
        <f t="shared" si="3"/>
        <v>42824</v>
      </c>
      <c r="I9" s="67">
        <v>969.18000000000052</v>
      </c>
      <c r="J9" s="66">
        <f t="shared" si="7"/>
        <v>0.45859795924510016</v>
      </c>
      <c r="L9" s="8">
        <f t="shared" si="4"/>
        <v>4</v>
      </c>
      <c r="M9" s="64">
        <f t="shared" si="5"/>
        <v>42824</v>
      </c>
      <c r="N9" s="67">
        <v>7.2280083319980868</v>
      </c>
      <c r="O9" s="66">
        <f t="shared" si="8"/>
        <v>0.33847591795294307</v>
      </c>
    </row>
    <row r="10" spans="2:15" x14ac:dyDescent="0.3">
      <c r="B10" s="8">
        <f t="shared" si="0"/>
        <v>5</v>
      </c>
      <c r="C10" s="64">
        <f t="shared" si="1"/>
        <v>43189</v>
      </c>
      <c r="D10" s="67">
        <v>15033.2</v>
      </c>
      <c r="E10" s="66">
        <f t="shared" si="6"/>
        <v>0.26353833093791246</v>
      </c>
      <c r="G10" s="8">
        <f t="shared" si="2"/>
        <v>5</v>
      </c>
      <c r="H10" s="64">
        <f t="shared" si="3"/>
        <v>43189</v>
      </c>
      <c r="I10" s="67">
        <v>1352.8600000000006</v>
      </c>
      <c r="J10" s="66">
        <f t="shared" si="7"/>
        <v>0.39588105408695995</v>
      </c>
      <c r="L10" s="8">
        <f t="shared" si="4"/>
        <v>5</v>
      </c>
      <c r="M10" s="64">
        <f t="shared" si="5"/>
        <v>43189</v>
      </c>
      <c r="N10" s="67">
        <v>11.513058804678748</v>
      </c>
      <c r="O10" s="66">
        <f t="shared" si="8"/>
        <v>0.5928397251163815</v>
      </c>
    </row>
    <row r="11" spans="2:15" x14ac:dyDescent="0.3">
      <c r="B11" s="8">
        <f t="shared" si="0"/>
        <v>6</v>
      </c>
      <c r="C11" s="64">
        <f t="shared" si="1"/>
        <v>43554</v>
      </c>
      <c r="D11" s="67">
        <v>20004.52</v>
      </c>
      <c r="E11" s="66">
        <f t="shared" si="6"/>
        <v>0.33068940744485542</v>
      </c>
      <c r="G11" s="8">
        <f t="shared" si="2"/>
        <v>6</v>
      </c>
      <c r="H11" s="64">
        <f t="shared" si="3"/>
        <v>43554</v>
      </c>
      <c r="I11" s="67">
        <v>1633.3100000000015</v>
      </c>
      <c r="J11" s="66">
        <f t="shared" si="7"/>
        <v>0.20730156852889503</v>
      </c>
      <c r="L11" s="8">
        <f t="shared" si="4"/>
        <v>6</v>
      </c>
      <c r="M11" s="64">
        <f t="shared" si="5"/>
        <v>43554</v>
      </c>
      <c r="N11" s="67">
        <v>13.685787534049055</v>
      </c>
      <c r="O11" s="66">
        <f t="shared" si="8"/>
        <v>0.18871863387750087</v>
      </c>
    </row>
    <row r="12" spans="2:15" x14ac:dyDescent="0.3">
      <c r="B12" s="8">
        <f t="shared" si="0"/>
        <v>7</v>
      </c>
      <c r="C12" s="64">
        <f t="shared" si="1"/>
        <v>43919</v>
      </c>
      <c r="D12" s="67">
        <v>24870.2</v>
      </c>
      <c r="E12" s="66">
        <f t="shared" si="6"/>
        <v>0.24322903023916598</v>
      </c>
      <c r="G12" s="8">
        <f t="shared" si="2"/>
        <v>7</v>
      </c>
      <c r="H12" s="64">
        <f t="shared" si="3"/>
        <v>43919</v>
      </c>
      <c r="I12" s="67">
        <v>2128.3100000000004</v>
      </c>
      <c r="J12" s="66">
        <f t="shared" si="7"/>
        <v>0.30306555399770918</v>
      </c>
      <c r="L12" s="8">
        <f t="shared" si="4"/>
        <v>7</v>
      </c>
      <c r="M12" s="64">
        <f t="shared" si="5"/>
        <v>43919</v>
      </c>
      <c r="N12" s="67">
        <v>19.156992899042923</v>
      </c>
      <c r="O12" s="66">
        <f t="shared" si="8"/>
        <v>0.39977278263176164</v>
      </c>
    </row>
    <row r="13" spans="2:15" x14ac:dyDescent="0.3">
      <c r="B13" s="8">
        <f t="shared" si="0"/>
        <v>8</v>
      </c>
      <c r="C13" s="64">
        <f t="shared" si="1"/>
        <v>44284</v>
      </c>
      <c r="D13" s="67">
        <v>24143.06</v>
      </c>
      <c r="E13" s="66">
        <f t="shared" si="6"/>
        <v>-2.9237400583831175E-2</v>
      </c>
      <c r="G13" s="8">
        <f t="shared" si="2"/>
        <v>8</v>
      </c>
      <c r="H13" s="64">
        <f t="shared" si="3"/>
        <v>44284</v>
      </c>
      <c r="I13" s="67">
        <v>1744.8299999999983</v>
      </c>
      <c r="J13" s="66">
        <f t="shared" si="7"/>
        <v>-0.18018051881539909</v>
      </c>
      <c r="L13" s="8">
        <f t="shared" si="4"/>
        <v>8</v>
      </c>
      <c r="M13" s="64">
        <f t="shared" si="5"/>
        <v>44284</v>
      </c>
      <c r="N13" s="67">
        <v>13.970361222599543</v>
      </c>
      <c r="O13" s="66">
        <f t="shared" si="8"/>
        <v>-0.27074351928702245</v>
      </c>
    </row>
    <row r="14" spans="2:15" x14ac:dyDescent="0.3">
      <c r="B14" s="8">
        <f t="shared" si="0"/>
        <v>9</v>
      </c>
      <c r="C14" s="64">
        <f t="shared" si="1"/>
        <v>44649</v>
      </c>
      <c r="D14" s="67">
        <v>30976.27</v>
      </c>
      <c r="E14" s="66">
        <f t="shared" si="6"/>
        <v>0.28302998874210639</v>
      </c>
      <c r="G14" s="8">
        <f t="shared" si="2"/>
        <v>9</v>
      </c>
      <c r="H14" s="64">
        <f t="shared" si="3"/>
        <v>44649</v>
      </c>
      <c r="I14" s="67">
        <v>2502.3500000000013</v>
      </c>
      <c r="J14" s="66">
        <f t="shared" si="7"/>
        <v>0.43415117805173198</v>
      </c>
      <c r="L14" s="8">
        <f t="shared" si="4"/>
        <v>9</v>
      </c>
      <c r="M14" s="64">
        <f t="shared" si="5"/>
        <v>44649</v>
      </c>
      <c r="N14" s="67">
        <v>21.283729546156241</v>
      </c>
      <c r="O14" s="66">
        <f t="shared" si="8"/>
        <v>0.52349171270718653</v>
      </c>
    </row>
    <row r="15" spans="2:15" x14ac:dyDescent="0.3">
      <c r="B15" s="8">
        <f t="shared" si="0"/>
        <v>10</v>
      </c>
      <c r="C15" s="64">
        <f t="shared" si="1"/>
        <v>45014</v>
      </c>
      <c r="D15" s="67">
        <v>42839.56</v>
      </c>
      <c r="E15" s="66">
        <f t="shared" si="6"/>
        <v>0.38297993915987938</v>
      </c>
      <c r="G15" s="8">
        <f t="shared" si="2"/>
        <v>10</v>
      </c>
      <c r="H15" s="64">
        <f t="shared" si="3"/>
        <v>45014</v>
      </c>
      <c r="I15" s="67">
        <v>3637.029999999997</v>
      </c>
      <c r="J15" s="66">
        <f t="shared" si="7"/>
        <v>0.45344576098467249</v>
      </c>
      <c r="L15" s="8">
        <f t="shared" si="4"/>
        <v>10</v>
      </c>
      <c r="M15" s="64">
        <f t="shared" si="5"/>
        <v>45014</v>
      </c>
      <c r="N15" s="67">
        <v>34.690729600493555</v>
      </c>
      <c r="O15" s="66">
        <f t="shared" si="8"/>
        <v>0.6299177982534816</v>
      </c>
    </row>
    <row r="16" spans="2:15" x14ac:dyDescent="0.3">
      <c r="B16" s="68">
        <f t="shared" si="0"/>
        <v>11</v>
      </c>
      <c r="C16" s="69">
        <f t="shared" si="1"/>
        <v>45379</v>
      </c>
      <c r="D16" s="70">
        <f>FORECAST(B16,$D$6:$D$15,$B$6:$B$15)</f>
        <v>40174.781999999992</v>
      </c>
      <c r="E16" s="71">
        <f t="shared" si="6"/>
        <v>-6.2203673427084771E-2</v>
      </c>
      <c r="G16" s="68">
        <f t="shared" si="2"/>
        <v>11</v>
      </c>
      <c r="H16" s="69">
        <f t="shared" si="3"/>
        <v>45379</v>
      </c>
      <c r="I16" s="70">
        <f>FORECAST(G16,$I$6:$I$15,$G$6:$G$15)</f>
        <v>3314.4559999999992</v>
      </c>
      <c r="J16" s="71">
        <f t="shared" si="7"/>
        <v>-8.8691597264800692E-2</v>
      </c>
      <c r="L16" s="68">
        <f t="shared" si="4"/>
        <v>11</v>
      </c>
      <c r="M16" s="69">
        <f t="shared" si="5"/>
        <v>45379</v>
      </c>
      <c r="N16" s="70">
        <f>FORECAST(L16,$N$6:$N$15,$L$6:$L$15)</f>
        <v>29.774640989569694</v>
      </c>
      <c r="O16" s="71">
        <f t="shared" si="8"/>
        <v>-0.14171188290182046</v>
      </c>
    </row>
    <row r="17" spans="2:33" x14ac:dyDescent="0.3">
      <c r="B17" s="68">
        <f t="shared" si="0"/>
        <v>12</v>
      </c>
      <c r="C17" s="69">
        <f t="shared" si="1"/>
        <v>45744</v>
      </c>
      <c r="D17" s="70">
        <f>FORECAST(B17,$D$6:$D$15,$B$6:$B$15)</f>
        <v>44034.302727272719</v>
      </c>
      <c r="E17" s="71">
        <f t="shared" si="6"/>
        <v>9.6068243189788349E-2</v>
      </c>
      <c r="G17" s="68">
        <f t="shared" si="2"/>
        <v>12</v>
      </c>
      <c r="H17" s="69">
        <f t="shared" si="3"/>
        <v>45744</v>
      </c>
      <c r="I17" s="70">
        <f t="shared" ref="I17:I20" si="9">FORECAST(G17,$I$6:$I$15,$G$6:$G$15)</f>
        <v>3636.5412727272719</v>
      </c>
      <c r="J17" s="71">
        <f t="shared" si="7"/>
        <v>9.7175908422761692E-2</v>
      </c>
      <c r="L17" s="68">
        <f t="shared" si="4"/>
        <v>12</v>
      </c>
      <c r="M17" s="69">
        <f t="shared" si="5"/>
        <v>45744</v>
      </c>
      <c r="N17" s="70">
        <f t="shared" ref="N17:N20" si="10">FORECAST(L17,$N$6:$N$15,$L$6:$L$15)</f>
        <v>32.770174097012628</v>
      </c>
      <c r="O17" s="71">
        <f t="shared" si="8"/>
        <v>0.10060685898756239</v>
      </c>
    </row>
    <row r="18" spans="2:33" x14ac:dyDescent="0.3">
      <c r="B18" s="68">
        <f t="shared" si="0"/>
        <v>13</v>
      </c>
      <c r="C18" s="69">
        <f t="shared" si="1"/>
        <v>46109</v>
      </c>
      <c r="D18" s="70">
        <f>FORECAST(B18,$D$6:$D$15,$B$6:$B$15)</f>
        <v>47893.823454545447</v>
      </c>
      <c r="E18" s="71">
        <f t="shared" si="6"/>
        <v>8.7648049094287694E-2</v>
      </c>
      <c r="G18" s="68">
        <f t="shared" si="2"/>
        <v>13</v>
      </c>
      <c r="H18" s="69">
        <f t="shared" si="3"/>
        <v>46109</v>
      </c>
      <c r="I18" s="70">
        <f t="shared" si="9"/>
        <v>3958.6265454545446</v>
      </c>
      <c r="J18" s="71">
        <f t="shared" si="7"/>
        <v>8.8569123398321903E-2</v>
      </c>
      <c r="L18" s="68">
        <f t="shared" si="4"/>
        <v>13</v>
      </c>
      <c r="M18" s="69">
        <f t="shared" si="5"/>
        <v>46109</v>
      </c>
      <c r="N18" s="70">
        <f t="shared" si="10"/>
        <v>35.765707204455566</v>
      </c>
      <c r="O18" s="71">
        <f t="shared" si="8"/>
        <v>9.1410350722427758E-2</v>
      </c>
    </row>
    <row r="19" spans="2:33" x14ac:dyDescent="0.3">
      <c r="B19" s="68">
        <f t="shared" si="0"/>
        <v>14</v>
      </c>
      <c r="C19" s="69">
        <f t="shared" si="1"/>
        <v>46474</v>
      </c>
      <c r="D19" s="70">
        <f>FORECAST(B19,$D$6:$D$15,$B$6:$B$15)</f>
        <v>51753.344181818175</v>
      </c>
      <c r="E19" s="71">
        <f t="shared" si="6"/>
        <v>8.0584936613709246E-2</v>
      </c>
      <c r="G19" s="68">
        <f t="shared" si="2"/>
        <v>14</v>
      </c>
      <c r="H19" s="69">
        <f t="shared" si="3"/>
        <v>46474</v>
      </c>
      <c r="I19" s="70">
        <f t="shared" si="9"/>
        <v>4280.7118181818169</v>
      </c>
      <c r="J19" s="71">
        <f t="shared" si="7"/>
        <v>8.1362884078343578E-2</v>
      </c>
      <c r="L19" s="68">
        <f t="shared" si="4"/>
        <v>14</v>
      </c>
      <c r="M19" s="69">
        <f t="shared" si="5"/>
        <v>46474</v>
      </c>
      <c r="N19" s="70">
        <f t="shared" si="10"/>
        <v>38.76124031189849</v>
      </c>
      <c r="O19" s="71">
        <f t="shared" si="8"/>
        <v>8.3754337369002174E-2</v>
      </c>
    </row>
    <row r="20" spans="2:33" x14ac:dyDescent="0.3">
      <c r="B20" s="68">
        <f t="shared" si="0"/>
        <v>15</v>
      </c>
      <c r="C20" s="69">
        <f t="shared" si="1"/>
        <v>46839</v>
      </c>
      <c r="D20" s="70">
        <f>FORECAST(B20,$D$6:$D$15,$B$6:$B$15)</f>
        <v>55612.864909090902</v>
      </c>
      <c r="E20" s="71">
        <f t="shared" si="6"/>
        <v>7.4575291477079864E-2</v>
      </c>
      <c r="G20" s="68">
        <f t="shared" si="2"/>
        <v>15</v>
      </c>
      <c r="H20" s="69">
        <f t="shared" si="3"/>
        <v>46839</v>
      </c>
      <c r="I20" s="70">
        <f t="shared" si="9"/>
        <v>4602.79709090909</v>
      </c>
      <c r="J20" s="71">
        <f t="shared" si="7"/>
        <v>7.5241054854301215E-2</v>
      </c>
      <c r="L20" s="68">
        <f t="shared" si="4"/>
        <v>15</v>
      </c>
      <c r="M20" s="69">
        <f t="shared" si="5"/>
        <v>46839</v>
      </c>
      <c r="N20" s="70">
        <f t="shared" si="10"/>
        <v>41.756773419341428</v>
      </c>
      <c r="O20" s="71">
        <f t="shared" si="8"/>
        <v>7.7281662901880877E-2</v>
      </c>
    </row>
    <row r="21" spans="2:33" x14ac:dyDescent="0.3">
      <c r="Z21" s="8"/>
      <c r="AA21" s="65"/>
      <c r="AG21" s="65"/>
    </row>
    <row r="22" spans="2:33" x14ac:dyDescent="0.3">
      <c r="Z22" s="8"/>
      <c r="AA22" s="65"/>
    </row>
    <row r="23" spans="2:33" x14ac:dyDescent="0.3">
      <c r="Z23" s="8"/>
      <c r="AA23" s="65"/>
    </row>
    <row r="24" spans="2:33" x14ac:dyDescent="0.3">
      <c r="Z24" s="8"/>
      <c r="AA24" s="65"/>
    </row>
  </sheetData>
  <mergeCells count="3">
    <mergeCell ref="B4:E4"/>
    <mergeCell ref="G4:J4"/>
    <mergeCell ref="L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E5CA-8B11-42C8-8264-A48CDD9AD217}"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5F19-CD94-4018-A96C-1CCA655F381E}">
  <sheetPr>
    <tabColor theme="1"/>
  </sheetPr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showGridLines="0" zoomScaleNormal="10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9" sqref="B9"/>
    </sheetView>
  </sheetViews>
  <sheetFormatPr defaultColWidth="8.77734375" defaultRowHeight="14.4" x14ac:dyDescent="0.3"/>
  <cols>
    <col min="1" max="1" width="27.6640625" style="3" bestFit="1" customWidth="1"/>
    <col min="2" max="11" width="13.44140625" style="3" bestFit="1" customWidth="1"/>
    <col min="12" max="16384" width="8.77734375" style="3"/>
  </cols>
  <sheetData>
    <row r="1" spans="1:11" s="1" customFormat="1" x14ac:dyDescent="0.3">
      <c r="A1" s="1" t="s">
        <v>54</v>
      </c>
      <c r="B1" s="1" t="s">
        <v>32</v>
      </c>
      <c r="E1" s="75" t="str">
        <f>IF(B2&lt;&gt;B3, "A NEW VERSION OF THE WORKSHEET IS AVAILABLE", "")</f>
        <v/>
      </c>
      <c r="F1" s="75"/>
      <c r="G1" s="75"/>
      <c r="H1" s="75"/>
      <c r="I1" s="75"/>
      <c r="J1" s="75"/>
      <c r="K1" s="75"/>
    </row>
    <row r="2" spans="1:11" x14ac:dyDescent="0.3">
      <c r="A2" s="1" t="s">
        <v>30</v>
      </c>
      <c r="B2" s="3">
        <v>2.1</v>
      </c>
      <c r="E2" s="76" t="s">
        <v>21</v>
      </c>
      <c r="F2" s="76"/>
      <c r="G2" s="76"/>
      <c r="H2" s="76"/>
      <c r="I2" s="76"/>
      <c r="J2" s="76"/>
      <c r="K2" s="76"/>
    </row>
    <row r="3" spans="1:11" x14ac:dyDescent="0.3">
      <c r="A3" s="1" t="s">
        <v>31</v>
      </c>
      <c r="B3" s="3">
        <v>2.1</v>
      </c>
    </row>
    <row r="4" spans="1:11" x14ac:dyDescent="0.3">
      <c r="A4" s="1"/>
    </row>
    <row r="5" spans="1:11" x14ac:dyDescent="0.3">
      <c r="A5" s="1" t="s">
        <v>33</v>
      </c>
    </row>
    <row r="6" spans="1:11" x14ac:dyDescent="0.3">
      <c r="A6" s="3" t="s">
        <v>27</v>
      </c>
      <c r="B6" s="3">
        <f>IF(B9&gt;0, B9/B8, 0)</f>
        <v>65.037370261042255</v>
      </c>
    </row>
    <row r="7" spans="1:11" x14ac:dyDescent="0.3">
      <c r="A7" s="3" t="s">
        <v>16</v>
      </c>
      <c r="B7">
        <v>10</v>
      </c>
    </row>
    <row r="8" spans="1:11" x14ac:dyDescent="0.3">
      <c r="A8" s="3" t="s">
        <v>28</v>
      </c>
      <c r="B8">
        <v>3675.65</v>
      </c>
    </row>
    <row r="9" spans="1:11" x14ac:dyDescent="0.3">
      <c r="A9" s="3" t="s">
        <v>43</v>
      </c>
      <c r="B9">
        <v>239054.61</v>
      </c>
    </row>
    <row r="15" spans="1:11" x14ac:dyDescent="0.3">
      <c r="A15" s="1" t="s">
        <v>22</v>
      </c>
    </row>
    <row r="16" spans="1:11" s="7" customFormat="1" x14ac:dyDescent="0.3">
      <c r="A16" s="6" t="s">
        <v>23</v>
      </c>
      <c r="B16" s="5">
        <v>41729</v>
      </c>
      <c r="C16" s="5">
        <v>42094</v>
      </c>
      <c r="D16" s="5">
        <v>42460</v>
      </c>
      <c r="E16" s="5">
        <v>42825</v>
      </c>
      <c r="F16" s="5">
        <v>43190</v>
      </c>
      <c r="G16" s="5">
        <v>43555</v>
      </c>
      <c r="H16" s="5">
        <v>43921</v>
      </c>
      <c r="I16" s="5">
        <v>44286</v>
      </c>
      <c r="J16" s="5">
        <v>44651</v>
      </c>
      <c r="K16" s="5">
        <v>45016</v>
      </c>
    </row>
    <row r="17" spans="1:11" s="4" customFormat="1" x14ac:dyDescent="0.3">
      <c r="A17" s="4" t="s">
        <v>0</v>
      </c>
      <c r="B17">
        <v>4686.4799999999996</v>
      </c>
      <c r="C17">
        <v>6439.43</v>
      </c>
      <c r="D17">
        <v>8583.76</v>
      </c>
      <c r="E17">
        <v>11897.7</v>
      </c>
      <c r="F17">
        <v>15033.2</v>
      </c>
      <c r="G17">
        <v>20004.52</v>
      </c>
      <c r="H17">
        <v>24870.2</v>
      </c>
      <c r="I17">
        <v>24143.06</v>
      </c>
      <c r="J17">
        <v>30976.27</v>
      </c>
      <c r="K17">
        <v>42839.56</v>
      </c>
    </row>
    <row r="18" spans="1:11" s="4" customFormat="1" x14ac:dyDescent="0.3">
      <c r="A18" s="3" t="s">
        <v>44</v>
      </c>
      <c r="B18">
        <v>4086.53</v>
      </c>
      <c r="C18">
        <v>5648.47</v>
      </c>
      <c r="D18">
        <v>7435.62</v>
      </c>
      <c r="E18">
        <v>10357.25</v>
      </c>
      <c r="F18">
        <v>12846.95</v>
      </c>
      <c r="G18">
        <v>17445.490000000002</v>
      </c>
      <c r="H18">
        <v>21441.68</v>
      </c>
      <c r="I18">
        <v>20855.560000000001</v>
      </c>
      <c r="J18">
        <v>26891.77</v>
      </c>
      <c r="K18">
        <v>36884.71</v>
      </c>
    </row>
    <row r="19" spans="1:11" s="4" customFormat="1" x14ac:dyDescent="0.3">
      <c r="A19" s="3" t="s">
        <v>45</v>
      </c>
      <c r="B19">
        <v>102.1</v>
      </c>
      <c r="C19">
        <v>161.28</v>
      </c>
      <c r="D19">
        <v>132.08000000000001</v>
      </c>
      <c r="E19">
        <v>276.22000000000003</v>
      </c>
      <c r="F19">
        <v>211.31</v>
      </c>
      <c r="G19">
        <v>444.65</v>
      </c>
      <c r="H19">
        <v>338.75</v>
      </c>
      <c r="I19">
        <v>300.88</v>
      </c>
      <c r="J19">
        <v>494.38</v>
      </c>
      <c r="K19">
        <v>500.82</v>
      </c>
    </row>
    <row r="20" spans="1:11" s="4" customFormat="1" x14ac:dyDescent="0.3">
      <c r="A20" s="3" t="s">
        <v>46</v>
      </c>
      <c r="B20">
        <v>45.31</v>
      </c>
      <c r="C20">
        <v>59.33</v>
      </c>
      <c r="D20">
        <v>79.239999999999995</v>
      </c>
      <c r="E20">
        <v>99.41</v>
      </c>
      <c r="F20">
        <v>121.26</v>
      </c>
      <c r="G20">
        <v>152.80000000000001</v>
      </c>
      <c r="H20">
        <v>188.24</v>
      </c>
      <c r="I20">
        <v>174.2</v>
      </c>
      <c r="J20">
        <v>207.86</v>
      </c>
      <c r="K20"/>
    </row>
    <row r="21" spans="1:11" s="4" customFormat="1" x14ac:dyDescent="0.3">
      <c r="A21" s="3" t="s">
        <v>47</v>
      </c>
      <c r="B21">
        <v>123.53</v>
      </c>
      <c r="C21">
        <v>155.35</v>
      </c>
      <c r="D21">
        <v>241.36</v>
      </c>
      <c r="E21">
        <v>332.9</v>
      </c>
      <c r="F21">
        <v>373.72</v>
      </c>
      <c r="G21">
        <v>499.72</v>
      </c>
      <c r="H21">
        <v>645.96</v>
      </c>
      <c r="I21">
        <v>746.43</v>
      </c>
      <c r="J21">
        <v>805.85</v>
      </c>
      <c r="K21"/>
    </row>
    <row r="22" spans="1:11" s="4" customFormat="1" x14ac:dyDescent="0.3">
      <c r="A22" s="3" t="s">
        <v>48</v>
      </c>
      <c r="B22">
        <v>87.34</v>
      </c>
      <c r="C22">
        <v>134.06</v>
      </c>
      <c r="D22">
        <v>149.04</v>
      </c>
      <c r="E22">
        <v>192.67</v>
      </c>
      <c r="F22">
        <v>283.14</v>
      </c>
      <c r="G22">
        <v>356.17</v>
      </c>
      <c r="H22">
        <v>457.14</v>
      </c>
      <c r="I22">
        <v>537.58000000000004</v>
      </c>
      <c r="J22">
        <v>617.36</v>
      </c>
      <c r="K22">
        <v>746.97</v>
      </c>
    </row>
    <row r="23" spans="1:11" s="4" customFormat="1" x14ac:dyDescent="0.3">
      <c r="A23" s="3" t="s">
        <v>49</v>
      </c>
      <c r="B23">
        <v>420.11</v>
      </c>
      <c r="C23">
        <v>582.79999999999995</v>
      </c>
      <c r="D23">
        <v>647.37</v>
      </c>
      <c r="E23">
        <v>71.239999999999995</v>
      </c>
      <c r="F23">
        <v>96</v>
      </c>
      <c r="G23">
        <v>135.84</v>
      </c>
      <c r="H23">
        <v>119.23</v>
      </c>
      <c r="I23">
        <v>108.69</v>
      </c>
      <c r="J23">
        <v>143.41</v>
      </c>
      <c r="K23"/>
    </row>
    <row r="24" spans="1:11" s="4" customFormat="1" x14ac:dyDescent="0.3">
      <c r="A24" s="3" t="s">
        <v>50</v>
      </c>
      <c r="B24">
        <v>-315.52</v>
      </c>
      <c r="C24">
        <v>-435.56</v>
      </c>
      <c r="D24">
        <v>-501.25</v>
      </c>
      <c r="E24">
        <v>151.27000000000001</v>
      </c>
      <c r="F24">
        <v>170.58</v>
      </c>
      <c r="G24">
        <v>225.84</v>
      </c>
      <c r="H24">
        <v>228.39</v>
      </c>
      <c r="I24">
        <v>276.64999999999998</v>
      </c>
      <c r="J24">
        <v>302.05</v>
      </c>
      <c r="K24">
        <v>2071.67</v>
      </c>
    </row>
    <row r="25" spans="1:11" s="4" customFormat="1" x14ac:dyDescent="0.3">
      <c r="A25" s="4" t="s">
        <v>3</v>
      </c>
      <c r="B25">
        <v>16.27</v>
      </c>
      <c r="C25">
        <v>20.27</v>
      </c>
      <c r="D25">
        <v>17.02</v>
      </c>
      <c r="E25">
        <v>27.7</v>
      </c>
      <c r="F25">
        <v>87.75</v>
      </c>
      <c r="G25">
        <v>48.33</v>
      </c>
      <c r="H25">
        <v>59.99</v>
      </c>
      <c r="I25">
        <v>194.43</v>
      </c>
      <c r="J25">
        <v>113.64</v>
      </c>
      <c r="K25">
        <v>129.34</v>
      </c>
    </row>
    <row r="26" spans="1:11" s="4" customFormat="1" x14ac:dyDescent="0.3">
      <c r="A26" s="4" t="s">
        <v>4</v>
      </c>
      <c r="B26">
        <v>57.01</v>
      </c>
      <c r="C26">
        <v>81.540000000000006</v>
      </c>
      <c r="D26">
        <v>98.43</v>
      </c>
      <c r="E26">
        <v>127.82</v>
      </c>
      <c r="F26">
        <v>159</v>
      </c>
      <c r="G26">
        <v>212.49</v>
      </c>
      <c r="H26">
        <v>374.41</v>
      </c>
      <c r="I26">
        <v>414.16</v>
      </c>
      <c r="J26">
        <v>498.08</v>
      </c>
      <c r="K26">
        <v>638.87</v>
      </c>
    </row>
    <row r="27" spans="1:11" s="4" customFormat="1" x14ac:dyDescent="0.3">
      <c r="A27" s="4" t="s">
        <v>5</v>
      </c>
      <c r="B27">
        <v>55.68</v>
      </c>
      <c r="C27">
        <v>72.36</v>
      </c>
      <c r="D27">
        <v>91.34</v>
      </c>
      <c r="E27">
        <v>121.98</v>
      </c>
      <c r="F27">
        <v>59.54</v>
      </c>
      <c r="G27">
        <v>47.21</v>
      </c>
      <c r="H27">
        <v>69.12</v>
      </c>
      <c r="I27">
        <v>41.65</v>
      </c>
      <c r="J27">
        <v>53.79</v>
      </c>
      <c r="K27">
        <v>67.41</v>
      </c>
    </row>
    <row r="28" spans="1:11" s="4" customFormat="1" x14ac:dyDescent="0.3">
      <c r="A28" s="4" t="s">
        <v>6</v>
      </c>
      <c r="B28">
        <v>244.86</v>
      </c>
      <c r="C28">
        <v>322.63</v>
      </c>
      <c r="D28">
        <v>491.71</v>
      </c>
      <c r="E28">
        <v>747.08</v>
      </c>
      <c r="F28">
        <v>1222.07</v>
      </c>
      <c r="G28">
        <v>1421.94</v>
      </c>
      <c r="H28">
        <v>1744.77</v>
      </c>
      <c r="I28">
        <v>1483.45</v>
      </c>
      <c r="J28">
        <v>2064.12</v>
      </c>
      <c r="K28">
        <v>3060.09</v>
      </c>
    </row>
    <row r="29" spans="1:11" s="4" customFormat="1" x14ac:dyDescent="0.3">
      <c r="A29" s="4" t="s">
        <v>7</v>
      </c>
      <c r="B29">
        <v>83.48</v>
      </c>
      <c r="C29">
        <v>110.92</v>
      </c>
      <c r="D29">
        <v>171.47</v>
      </c>
      <c r="E29">
        <v>268.27999999999997</v>
      </c>
      <c r="F29">
        <v>415.79</v>
      </c>
      <c r="G29">
        <v>519.48</v>
      </c>
      <c r="H29">
        <v>443.79</v>
      </c>
      <c r="I29">
        <v>384.02</v>
      </c>
      <c r="J29">
        <v>571.72</v>
      </c>
      <c r="K29">
        <v>681.75</v>
      </c>
    </row>
    <row r="30" spans="1:11" s="4" customFormat="1" x14ac:dyDescent="0.3">
      <c r="A30" s="4" t="s">
        <v>8</v>
      </c>
      <c r="B30">
        <v>161.37</v>
      </c>
      <c r="C30">
        <v>211.67</v>
      </c>
      <c r="D30">
        <v>320.24</v>
      </c>
      <c r="E30">
        <v>478.75</v>
      </c>
      <c r="F30">
        <v>806.26</v>
      </c>
      <c r="G30">
        <v>902.54</v>
      </c>
      <c r="H30">
        <v>1301.08</v>
      </c>
      <c r="I30">
        <v>1099.49</v>
      </c>
      <c r="J30">
        <v>1492.55</v>
      </c>
      <c r="K30">
        <v>2378.5100000000002</v>
      </c>
    </row>
    <row r="31" spans="1:11" s="4" customFormat="1" x14ac:dyDescent="0.3">
      <c r="A31" s="4" t="s">
        <v>34</v>
      </c>
      <c r="B31"/>
      <c r="D31"/>
      <c r="K31"/>
    </row>
    <row r="32" spans="1:11" s="4" customFormat="1" x14ac:dyDescent="0.3"/>
    <row r="33" spans="1:11" x14ac:dyDescent="0.3">
      <c r="A33" s="4"/>
    </row>
    <row r="34" spans="1:11" x14ac:dyDescent="0.3">
      <c r="A34" s="4"/>
    </row>
    <row r="35" spans="1:11" x14ac:dyDescent="0.3">
      <c r="A35" s="4"/>
    </row>
    <row r="36" spans="1:11" x14ac:dyDescent="0.3">
      <c r="A36" s="4"/>
    </row>
    <row r="37" spans="1:11" x14ac:dyDescent="0.3">
      <c r="A37" s="4"/>
    </row>
    <row r="38" spans="1:11" x14ac:dyDescent="0.3">
      <c r="A38" s="4"/>
    </row>
    <row r="39" spans="1:11" x14ac:dyDescent="0.3">
      <c r="A39" s="4"/>
    </row>
    <row r="40" spans="1:11" x14ac:dyDescent="0.3">
      <c r="A40" s="1" t="s">
        <v>24</v>
      </c>
    </row>
    <row r="41" spans="1:11" s="7" customFormat="1" x14ac:dyDescent="0.3">
      <c r="A41" s="6" t="s">
        <v>23</v>
      </c>
      <c r="B41" s="5">
        <v>44286</v>
      </c>
      <c r="C41" s="5">
        <v>44377</v>
      </c>
      <c r="D41" s="5">
        <v>44469</v>
      </c>
      <c r="E41" s="5">
        <v>44561</v>
      </c>
      <c r="F41" s="5">
        <v>44651</v>
      </c>
      <c r="G41" s="5">
        <v>44742</v>
      </c>
      <c r="H41" s="5">
        <v>44834</v>
      </c>
      <c r="I41" s="5">
        <v>44926</v>
      </c>
      <c r="J41" s="5">
        <v>45016</v>
      </c>
      <c r="K41" s="5">
        <v>45107</v>
      </c>
    </row>
    <row r="42" spans="1:11" s="4" customFormat="1" x14ac:dyDescent="0.3">
      <c r="A42" s="4" t="s">
        <v>0</v>
      </c>
      <c r="B42">
        <v>7411.68</v>
      </c>
      <c r="C42">
        <v>5183.12</v>
      </c>
      <c r="D42">
        <v>7788.94</v>
      </c>
      <c r="E42">
        <v>9217.76</v>
      </c>
      <c r="F42">
        <v>8786.4500000000007</v>
      </c>
      <c r="G42">
        <v>10038.07</v>
      </c>
      <c r="H42">
        <v>10638.33</v>
      </c>
      <c r="I42">
        <v>11569.05</v>
      </c>
      <c r="J42">
        <v>10594.11</v>
      </c>
      <c r="K42">
        <v>11865.44</v>
      </c>
    </row>
    <row r="43" spans="1:11" s="4" customFormat="1" x14ac:dyDescent="0.3">
      <c r="A43" s="4" t="s">
        <v>1</v>
      </c>
      <c r="B43">
        <v>6799.02</v>
      </c>
      <c r="C43">
        <v>4958.9399999999996</v>
      </c>
      <c r="D43">
        <v>7120.36</v>
      </c>
      <c r="E43">
        <v>8351.2999999999993</v>
      </c>
      <c r="F43">
        <v>8047.17</v>
      </c>
      <c r="G43">
        <v>9029.83</v>
      </c>
      <c r="H43">
        <v>9746.31</v>
      </c>
      <c r="I43">
        <v>10603.79</v>
      </c>
      <c r="J43">
        <v>9822.6</v>
      </c>
      <c r="K43">
        <v>10830.17</v>
      </c>
    </row>
    <row r="44" spans="1:11" s="4" customFormat="1" x14ac:dyDescent="0.3">
      <c r="A44" s="4" t="s">
        <v>3</v>
      </c>
      <c r="B44">
        <v>48.12</v>
      </c>
      <c r="C44">
        <v>31.46</v>
      </c>
      <c r="D44">
        <v>27.5</v>
      </c>
      <c r="E44">
        <v>25.96</v>
      </c>
      <c r="F44">
        <v>32.57</v>
      </c>
      <c r="G44">
        <v>29.14</v>
      </c>
      <c r="H44">
        <v>35.57</v>
      </c>
      <c r="I44">
        <v>31.56</v>
      </c>
      <c r="J44">
        <v>33.07</v>
      </c>
      <c r="K44">
        <v>38.74</v>
      </c>
    </row>
    <row r="45" spans="1:11" s="4" customFormat="1" x14ac:dyDescent="0.3">
      <c r="A45" s="4" t="s">
        <v>4</v>
      </c>
      <c r="B45">
        <v>104.96</v>
      </c>
      <c r="C45">
        <v>107.44</v>
      </c>
      <c r="D45">
        <v>116.01</v>
      </c>
      <c r="E45">
        <v>128.30000000000001</v>
      </c>
      <c r="F45">
        <v>146.33000000000001</v>
      </c>
      <c r="G45">
        <v>144.74</v>
      </c>
      <c r="H45">
        <v>161.96</v>
      </c>
      <c r="I45">
        <v>168.09</v>
      </c>
      <c r="J45">
        <v>164.08</v>
      </c>
      <c r="K45">
        <v>162.18</v>
      </c>
    </row>
    <row r="46" spans="1:11" s="4" customFormat="1" x14ac:dyDescent="0.3">
      <c r="A46" s="4" t="s">
        <v>5</v>
      </c>
      <c r="B46">
        <v>12.26</v>
      </c>
      <c r="C46">
        <v>10.84</v>
      </c>
      <c r="D46">
        <v>12.37</v>
      </c>
      <c r="E46">
        <v>13.95</v>
      </c>
      <c r="F46">
        <v>16.63</v>
      </c>
      <c r="G46">
        <v>17.22</v>
      </c>
      <c r="H46">
        <v>17.68</v>
      </c>
      <c r="I46">
        <v>16.98</v>
      </c>
      <c r="J46">
        <v>15.53</v>
      </c>
      <c r="K46">
        <v>14.57</v>
      </c>
    </row>
    <row r="47" spans="1:11" s="4" customFormat="1" x14ac:dyDescent="0.3">
      <c r="A47" s="4" t="s">
        <v>6</v>
      </c>
      <c r="B47">
        <v>543.55999999999995</v>
      </c>
      <c r="C47">
        <v>137.36000000000001</v>
      </c>
      <c r="D47">
        <v>567.70000000000005</v>
      </c>
      <c r="E47">
        <v>750.17</v>
      </c>
      <c r="F47">
        <v>608.89</v>
      </c>
      <c r="G47">
        <v>875.42</v>
      </c>
      <c r="H47">
        <v>747.95</v>
      </c>
      <c r="I47">
        <v>811.75</v>
      </c>
      <c r="J47">
        <v>624.97</v>
      </c>
      <c r="K47">
        <v>897.26</v>
      </c>
    </row>
    <row r="48" spans="1:11" s="4" customFormat="1" x14ac:dyDescent="0.3">
      <c r="A48" s="4" t="s">
        <v>7</v>
      </c>
      <c r="B48">
        <v>129.69</v>
      </c>
      <c r="C48">
        <v>42</v>
      </c>
      <c r="D48">
        <v>149.94</v>
      </c>
      <c r="E48">
        <v>197.64</v>
      </c>
      <c r="F48">
        <v>182.14</v>
      </c>
      <c r="G48">
        <v>232.53</v>
      </c>
      <c r="H48">
        <v>62.24</v>
      </c>
      <c r="I48">
        <v>222.11</v>
      </c>
      <c r="J48">
        <v>164.87</v>
      </c>
      <c r="K48">
        <v>238.55</v>
      </c>
    </row>
    <row r="49" spans="1:11" s="4" customFormat="1" x14ac:dyDescent="0.3">
      <c r="A49" s="4" t="s">
        <v>8</v>
      </c>
      <c r="B49">
        <v>413.88</v>
      </c>
      <c r="C49">
        <v>95.37</v>
      </c>
      <c r="D49">
        <v>417.79</v>
      </c>
      <c r="E49">
        <v>552.55999999999995</v>
      </c>
      <c r="F49">
        <v>426.83</v>
      </c>
      <c r="G49">
        <v>642.92999999999995</v>
      </c>
      <c r="H49">
        <v>685.77</v>
      </c>
      <c r="I49">
        <v>589.67999999999995</v>
      </c>
      <c r="J49">
        <v>460.13</v>
      </c>
      <c r="K49">
        <v>658.75</v>
      </c>
    </row>
    <row r="50" spans="1:11" x14ac:dyDescent="0.3">
      <c r="A50" s="4" t="s">
        <v>2</v>
      </c>
      <c r="B50">
        <v>612.66</v>
      </c>
      <c r="C50">
        <v>224.18</v>
      </c>
      <c r="D50">
        <v>668.58</v>
      </c>
      <c r="E50">
        <v>866.46</v>
      </c>
      <c r="F50">
        <v>739.28</v>
      </c>
      <c r="G50">
        <v>1008.24</v>
      </c>
      <c r="H50">
        <v>892.02</v>
      </c>
      <c r="I50">
        <v>965.26</v>
      </c>
      <c r="J50">
        <v>771.51</v>
      </c>
      <c r="K50">
        <v>1035.27</v>
      </c>
    </row>
    <row r="51" spans="1:11" x14ac:dyDescent="0.3">
      <c r="A51" s="4"/>
    </row>
    <row r="52" spans="1:11" x14ac:dyDescent="0.3">
      <c r="A52" s="4"/>
    </row>
    <row r="53" spans="1:11" x14ac:dyDescent="0.3">
      <c r="A53" s="4"/>
    </row>
    <row r="54" spans="1:11" x14ac:dyDescent="0.3">
      <c r="A54" s="4"/>
    </row>
    <row r="55" spans="1:11" x14ac:dyDescent="0.3">
      <c r="A55" s="1" t="s">
        <v>25</v>
      </c>
    </row>
    <row r="56" spans="1:11" s="7" customFormat="1" x14ac:dyDescent="0.3">
      <c r="A56" s="6" t="s">
        <v>23</v>
      </c>
      <c r="B56" s="5">
        <v>41729</v>
      </c>
      <c r="C56" s="5">
        <v>42094</v>
      </c>
      <c r="D56" s="5">
        <v>42460</v>
      </c>
      <c r="E56" s="5">
        <v>42825</v>
      </c>
      <c r="F56" s="5">
        <v>43190</v>
      </c>
      <c r="G56" s="5">
        <v>43555</v>
      </c>
      <c r="H56" s="5">
        <v>43921</v>
      </c>
      <c r="I56" s="5">
        <v>44286</v>
      </c>
      <c r="J56" s="5">
        <v>44651</v>
      </c>
      <c r="K56" s="5">
        <v>45016</v>
      </c>
    </row>
    <row r="57" spans="1:11" x14ac:dyDescent="0.3">
      <c r="A57" s="4" t="s">
        <v>10</v>
      </c>
      <c r="B57">
        <v>546.75</v>
      </c>
      <c r="C57">
        <v>561.54</v>
      </c>
      <c r="D57">
        <v>561.54</v>
      </c>
      <c r="E57">
        <v>624.08000000000004</v>
      </c>
      <c r="F57">
        <v>624.08000000000004</v>
      </c>
      <c r="G57">
        <v>624.08000000000004</v>
      </c>
      <c r="H57">
        <v>647.77</v>
      </c>
      <c r="I57">
        <v>647.77</v>
      </c>
      <c r="J57">
        <v>647.77</v>
      </c>
      <c r="K57">
        <v>648.26</v>
      </c>
    </row>
    <row r="58" spans="1:11" x14ac:dyDescent="0.3">
      <c r="A58" s="4" t="s">
        <v>11</v>
      </c>
      <c r="B58">
        <v>408.82</v>
      </c>
      <c r="C58">
        <v>637.65</v>
      </c>
      <c r="D58">
        <v>958.9</v>
      </c>
      <c r="E58">
        <v>3217.7</v>
      </c>
      <c r="F58">
        <v>4044.97</v>
      </c>
      <c r="G58">
        <v>4963.37</v>
      </c>
      <c r="H58">
        <v>10431.969999999999</v>
      </c>
      <c r="I58">
        <v>11535.94</v>
      </c>
      <c r="J58">
        <v>13029.87</v>
      </c>
      <c r="K58">
        <v>15430.44</v>
      </c>
    </row>
    <row r="59" spans="1:11" x14ac:dyDescent="0.3">
      <c r="A59" s="4" t="s">
        <v>35</v>
      </c>
      <c r="B59">
        <v>640.82000000000005</v>
      </c>
      <c r="C59">
        <v>904.26</v>
      </c>
      <c r="D59">
        <v>1192.3399999999999</v>
      </c>
      <c r="E59">
        <v>1497.32</v>
      </c>
      <c r="F59">
        <v>439.25</v>
      </c>
      <c r="G59">
        <v>700.15</v>
      </c>
      <c r="H59">
        <v>333.19</v>
      </c>
      <c r="I59">
        <v>392.71</v>
      </c>
      <c r="J59">
        <v>646.94000000000005</v>
      </c>
      <c r="K59">
        <v>642.98</v>
      </c>
    </row>
    <row r="60" spans="1:11" x14ac:dyDescent="0.3">
      <c r="A60" s="4" t="s">
        <v>36</v>
      </c>
      <c r="B60">
        <v>211.26</v>
      </c>
      <c r="C60">
        <v>251.36</v>
      </c>
      <c r="D60">
        <v>388.78</v>
      </c>
      <c r="E60">
        <v>480.18</v>
      </c>
      <c r="F60">
        <v>539.91999999999996</v>
      </c>
      <c r="G60">
        <v>717.9</v>
      </c>
      <c r="H60">
        <v>663.23</v>
      </c>
      <c r="I60">
        <v>1078.6300000000001</v>
      </c>
      <c r="J60">
        <v>1146.4000000000001</v>
      </c>
      <c r="K60">
        <v>1384.61</v>
      </c>
    </row>
    <row r="61" spans="1:11" s="1" customFormat="1" x14ac:dyDescent="0.3">
      <c r="A61" s="1" t="s">
        <v>12</v>
      </c>
      <c r="B61">
        <v>1807.65</v>
      </c>
      <c r="C61">
        <v>2354.81</v>
      </c>
      <c r="D61">
        <v>3101.56</v>
      </c>
      <c r="E61">
        <v>5819.28</v>
      </c>
      <c r="F61">
        <v>5648.22</v>
      </c>
      <c r="G61">
        <v>7005.5</v>
      </c>
      <c r="H61">
        <v>12076.16</v>
      </c>
      <c r="I61">
        <v>13655.05</v>
      </c>
      <c r="J61">
        <v>15470.98</v>
      </c>
      <c r="K61">
        <v>18106.29</v>
      </c>
    </row>
    <row r="62" spans="1:11" x14ac:dyDescent="0.3">
      <c r="A62" s="4" t="s">
        <v>13</v>
      </c>
      <c r="B62">
        <v>1171.69</v>
      </c>
      <c r="C62">
        <v>1528.08</v>
      </c>
      <c r="D62">
        <v>2093.52</v>
      </c>
      <c r="E62">
        <v>2577.75</v>
      </c>
      <c r="F62">
        <v>3399.97</v>
      </c>
      <c r="G62">
        <v>4400.37</v>
      </c>
      <c r="H62">
        <v>5948.03</v>
      </c>
      <c r="I62">
        <v>7008.8</v>
      </c>
      <c r="J62">
        <v>9260.02</v>
      </c>
      <c r="K62">
        <v>11340.48</v>
      </c>
    </row>
    <row r="63" spans="1:11" x14ac:dyDescent="0.3">
      <c r="A63" s="4" t="s">
        <v>14</v>
      </c>
      <c r="B63">
        <v>88.78</v>
      </c>
      <c r="C63">
        <v>98.12</v>
      </c>
      <c r="D63">
        <v>81.69</v>
      </c>
      <c r="E63">
        <v>152.88999999999999</v>
      </c>
      <c r="F63">
        <v>147.07</v>
      </c>
      <c r="G63">
        <v>376.84</v>
      </c>
      <c r="H63">
        <v>364.4</v>
      </c>
      <c r="I63">
        <v>1019.59</v>
      </c>
      <c r="J63">
        <v>1129.3399999999999</v>
      </c>
      <c r="K63">
        <v>829.16</v>
      </c>
    </row>
    <row r="64" spans="1:11" x14ac:dyDescent="0.3">
      <c r="A64" s="4" t="s">
        <v>15</v>
      </c>
      <c r="B64">
        <v>15.54</v>
      </c>
      <c r="C64">
        <v>15.23</v>
      </c>
      <c r="D64">
        <v>29.33</v>
      </c>
      <c r="E64">
        <v>25.69</v>
      </c>
      <c r="F64">
        <v>68.180000000000007</v>
      </c>
      <c r="G64">
        <v>16.53</v>
      </c>
      <c r="H64">
        <v>14.68</v>
      </c>
      <c r="I64">
        <v>2.95</v>
      </c>
      <c r="J64">
        <v>5.94</v>
      </c>
      <c r="K64">
        <v>202.2</v>
      </c>
    </row>
    <row r="65" spans="1:11" x14ac:dyDescent="0.3">
      <c r="A65" s="4" t="s">
        <v>37</v>
      </c>
      <c r="B65">
        <v>531.64</v>
      </c>
      <c r="C65">
        <v>713.38</v>
      </c>
      <c r="D65">
        <v>897.02</v>
      </c>
      <c r="E65">
        <v>3062.95</v>
      </c>
      <c r="F65">
        <v>2033</v>
      </c>
      <c r="G65">
        <v>2211.7600000000002</v>
      </c>
      <c r="H65">
        <v>5749.05</v>
      </c>
      <c r="I65">
        <v>5623.71</v>
      </c>
      <c r="J65">
        <v>5075.68</v>
      </c>
      <c r="K65">
        <v>5734.45</v>
      </c>
    </row>
    <row r="66" spans="1:11" s="1" customFormat="1" x14ac:dyDescent="0.3">
      <c r="A66" s="1" t="s">
        <v>12</v>
      </c>
      <c r="B66">
        <v>1807.65</v>
      </c>
      <c r="C66">
        <v>2354.81</v>
      </c>
      <c r="D66">
        <v>3101.56</v>
      </c>
      <c r="E66">
        <v>5819.28</v>
      </c>
      <c r="F66">
        <v>5648.22</v>
      </c>
      <c r="G66">
        <v>7005.5</v>
      </c>
      <c r="H66">
        <v>12076.16</v>
      </c>
      <c r="I66">
        <v>13655.05</v>
      </c>
      <c r="J66">
        <v>15470.98</v>
      </c>
      <c r="K66">
        <v>18106.29</v>
      </c>
    </row>
    <row r="67" spans="1:11" s="4" customFormat="1" x14ac:dyDescent="0.3">
      <c r="A67" s="4" t="s">
        <v>42</v>
      </c>
      <c r="B67">
        <v>9.5399999999999991</v>
      </c>
      <c r="C67">
        <v>7.07</v>
      </c>
      <c r="D67">
        <v>8.42</v>
      </c>
      <c r="E67">
        <v>21</v>
      </c>
      <c r="F67">
        <v>33.520000000000003</v>
      </c>
      <c r="G67">
        <v>64.37</v>
      </c>
      <c r="H67">
        <v>19.55</v>
      </c>
      <c r="I67">
        <v>43.58</v>
      </c>
      <c r="J67">
        <v>66.89</v>
      </c>
      <c r="K67">
        <v>62.16</v>
      </c>
    </row>
    <row r="68" spans="1:11" x14ac:dyDescent="0.3">
      <c r="A68" s="4" t="s">
        <v>29</v>
      </c>
      <c r="B68">
        <v>378.33</v>
      </c>
      <c r="C68">
        <v>539.61</v>
      </c>
      <c r="D68">
        <v>671.69</v>
      </c>
      <c r="E68">
        <v>947.9</v>
      </c>
      <c r="F68">
        <v>1163.45</v>
      </c>
      <c r="G68">
        <v>1608.65</v>
      </c>
      <c r="H68">
        <v>1947.4</v>
      </c>
      <c r="I68">
        <v>2248.2800000000002</v>
      </c>
      <c r="J68">
        <v>2742.66</v>
      </c>
      <c r="K68">
        <v>3243.48</v>
      </c>
    </row>
    <row r="69" spans="1:11" x14ac:dyDescent="0.3">
      <c r="A69" s="3" t="s">
        <v>51</v>
      </c>
      <c r="B69">
        <v>55.41</v>
      </c>
      <c r="C69">
        <v>38.04</v>
      </c>
      <c r="D69">
        <v>35.1</v>
      </c>
      <c r="E69">
        <v>1884.29</v>
      </c>
      <c r="F69">
        <v>560.17999999999995</v>
      </c>
      <c r="G69">
        <v>219.07</v>
      </c>
      <c r="H69">
        <v>107.88</v>
      </c>
      <c r="I69">
        <v>1445.58</v>
      </c>
      <c r="J69">
        <v>298.58</v>
      </c>
      <c r="K69">
        <v>1408.33</v>
      </c>
    </row>
    <row r="70" spans="1:11" x14ac:dyDescent="0.3">
      <c r="A70" s="3" t="s">
        <v>38</v>
      </c>
      <c r="B70">
        <v>546752880</v>
      </c>
      <c r="C70">
        <v>561542680</v>
      </c>
      <c r="D70">
        <v>561542680</v>
      </c>
      <c r="E70">
        <v>624084486</v>
      </c>
      <c r="F70">
        <v>624084486</v>
      </c>
      <c r="G70">
        <v>624084486</v>
      </c>
      <c r="H70">
        <v>647774691</v>
      </c>
      <c r="I70">
        <v>647774691</v>
      </c>
      <c r="J70">
        <v>647774691</v>
      </c>
      <c r="K70"/>
    </row>
    <row r="71" spans="1:11" x14ac:dyDescent="0.3">
      <c r="A71" s="3" t="s">
        <v>39</v>
      </c>
    </row>
    <row r="72" spans="1:11" x14ac:dyDescent="0.3">
      <c r="A72" s="3" t="s">
        <v>52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</row>
    <row r="74" spans="1:11" x14ac:dyDescent="0.3">
      <c r="A74" s="4"/>
    </row>
    <row r="75" spans="1:11" x14ac:dyDescent="0.3">
      <c r="A75" s="4"/>
    </row>
    <row r="76" spans="1:11" x14ac:dyDescent="0.3">
      <c r="A76" s="4"/>
    </row>
    <row r="77" spans="1:11" x14ac:dyDescent="0.3">
      <c r="A77" s="4"/>
    </row>
    <row r="78" spans="1:11" x14ac:dyDescent="0.3">
      <c r="A78" s="4"/>
    </row>
    <row r="79" spans="1:11" x14ac:dyDescent="0.3">
      <c r="A79" s="4"/>
    </row>
    <row r="80" spans="1:11" x14ac:dyDescent="0.3">
      <c r="A80" s="1" t="s">
        <v>26</v>
      </c>
    </row>
    <row r="81" spans="1:11" s="7" customFormat="1" x14ac:dyDescent="0.3">
      <c r="A81" s="6" t="s">
        <v>23</v>
      </c>
      <c r="B81" s="5">
        <v>41729</v>
      </c>
      <c r="C81" s="5">
        <v>42094</v>
      </c>
      <c r="D81" s="5">
        <v>42460</v>
      </c>
      <c r="E81" s="5">
        <v>42825</v>
      </c>
      <c r="F81" s="5">
        <v>43190</v>
      </c>
      <c r="G81" s="5">
        <v>43555</v>
      </c>
      <c r="H81" s="5">
        <v>43921</v>
      </c>
      <c r="I81" s="5">
        <v>44286</v>
      </c>
      <c r="J81" s="5">
        <v>44651</v>
      </c>
      <c r="K81" s="5">
        <v>45016</v>
      </c>
    </row>
    <row r="82" spans="1:11" s="1" customFormat="1" x14ac:dyDescent="0.3">
      <c r="A82" s="4" t="s">
        <v>17</v>
      </c>
      <c r="B82">
        <v>198.14</v>
      </c>
      <c r="C82">
        <v>222.02</v>
      </c>
      <c r="D82">
        <v>433.47</v>
      </c>
      <c r="E82">
        <v>455.28</v>
      </c>
      <c r="F82">
        <v>729.99</v>
      </c>
      <c r="G82">
        <v>806.84</v>
      </c>
      <c r="H82">
        <v>1280.1400000000001</v>
      </c>
      <c r="I82">
        <v>1375.14</v>
      </c>
      <c r="J82">
        <v>1372.35</v>
      </c>
      <c r="K82">
        <v>2630.27</v>
      </c>
    </row>
    <row r="83" spans="1:11" s="4" customFormat="1" x14ac:dyDescent="0.3">
      <c r="A83" s="4" t="s">
        <v>18</v>
      </c>
      <c r="B83">
        <v>-270.17</v>
      </c>
      <c r="C83">
        <v>-473.88</v>
      </c>
      <c r="D83">
        <v>-632.89</v>
      </c>
      <c r="E83">
        <v>-2481.61</v>
      </c>
      <c r="F83">
        <v>463.55</v>
      </c>
      <c r="G83">
        <v>-958.37</v>
      </c>
      <c r="H83">
        <v>-4656.5600000000004</v>
      </c>
      <c r="I83">
        <v>-1110</v>
      </c>
      <c r="J83">
        <v>-1289.49</v>
      </c>
      <c r="K83">
        <v>-2313.1</v>
      </c>
    </row>
    <row r="84" spans="1:11" s="4" customFormat="1" x14ac:dyDescent="0.3">
      <c r="A84" s="4" t="s">
        <v>19</v>
      </c>
      <c r="B84">
        <v>65.23</v>
      </c>
      <c r="C84">
        <v>234.45</v>
      </c>
      <c r="D84">
        <v>196.44</v>
      </c>
      <c r="E84">
        <v>2025.26</v>
      </c>
      <c r="F84">
        <v>-1159.06</v>
      </c>
      <c r="G84">
        <v>208.98</v>
      </c>
      <c r="H84">
        <v>3357.42</v>
      </c>
      <c r="I84">
        <v>-179.5</v>
      </c>
      <c r="J84">
        <v>-179.24</v>
      </c>
      <c r="K84">
        <v>-205.14</v>
      </c>
    </row>
    <row r="85" spans="1:11" s="1" customFormat="1" x14ac:dyDescent="0.3">
      <c r="A85" s="4" t="s">
        <v>20</v>
      </c>
      <c r="B85">
        <v>-6.8</v>
      </c>
      <c r="C85">
        <v>-17.41</v>
      </c>
      <c r="D85">
        <v>-2.98</v>
      </c>
      <c r="E85">
        <v>-1.07</v>
      </c>
      <c r="F85">
        <v>34.479999999999997</v>
      </c>
      <c r="G85">
        <v>57.45</v>
      </c>
      <c r="H85">
        <v>-19</v>
      </c>
      <c r="I85">
        <v>85.64</v>
      </c>
      <c r="J85">
        <v>-96.38</v>
      </c>
      <c r="K85">
        <v>112.03</v>
      </c>
    </row>
    <row r="86" spans="1:11" x14ac:dyDescent="0.3">
      <c r="A86" s="4"/>
    </row>
    <row r="87" spans="1:11" x14ac:dyDescent="0.3">
      <c r="A87" s="4"/>
    </row>
    <row r="88" spans="1:11" x14ac:dyDescent="0.3">
      <c r="A88" s="4"/>
    </row>
    <row r="89" spans="1:11" x14ac:dyDescent="0.3">
      <c r="A89" s="4"/>
    </row>
    <row r="90" spans="1:11" s="1" customFormat="1" x14ac:dyDescent="0.3">
      <c r="A90" s="1" t="s">
        <v>41</v>
      </c>
      <c r="B90"/>
      <c r="C90"/>
      <c r="D90"/>
      <c r="E90">
        <v>637.85</v>
      </c>
      <c r="F90">
        <v>1324.8</v>
      </c>
      <c r="G90">
        <v>1471.1</v>
      </c>
      <c r="H90">
        <v>2187.5</v>
      </c>
      <c r="I90">
        <v>2859.05</v>
      </c>
      <c r="J90">
        <v>4003.35</v>
      </c>
      <c r="K90">
        <v>3401.05</v>
      </c>
    </row>
    <row r="92" spans="1:11" s="1" customFormat="1" x14ac:dyDescent="0.3">
      <c r="A92" s="1" t="s">
        <v>40</v>
      </c>
    </row>
    <row r="93" spans="1:11" x14ac:dyDescent="0.3">
      <c r="A93" s="3" t="s">
        <v>53</v>
      </c>
      <c r="B93" s="9">
        <v>54.68</v>
      </c>
      <c r="C93" s="9">
        <v>56.15</v>
      </c>
      <c r="D93" s="9">
        <v>56.15</v>
      </c>
      <c r="E93" s="9">
        <v>62.41</v>
      </c>
      <c r="F93" s="9">
        <v>62.41</v>
      </c>
      <c r="G93" s="9">
        <v>62.41</v>
      </c>
      <c r="H93" s="9">
        <v>64.78</v>
      </c>
      <c r="I93" s="9">
        <v>64.78</v>
      </c>
      <c r="J93" s="9">
        <v>64.78</v>
      </c>
      <c r="K93" s="9">
        <v>64.83</v>
      </c>
    </row>
  </sheetData>
  <sheetProtection sheet="1" objects="1" scenarios="1"/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D4A-2993-4F9B-B47C-4C9669C8D086}">
  <dimension ref="B2:L34"/>
  <sheetViews>
    <sheetView tabSelected="1" workbookViewId="0"/>
  </sheetViews>
  <sheetFormatPr defaultRowHeight="14.4" x14ac:dyDescent="0.3"/>
  <cols>
    <col min="2" max="2" width="25.77734375" bestFit="1" customWidth="1"/>
    <col min="3" max="10" width="10.77734375" customWidth="1"/>
  </cols>
  <sheetData>
    <row r="2" spans="2:12" x14ac:dyDescent="0.3">
      <c r="C2" s="10">
        <v>41699</v>
      </c>
      <c r="D2" s="10">
        <v>42064</v>
      </c>
      <c r="E2" s="10">
        <v>42430</v>
      </c>
      <c r="F2" s="10">
        <v>42795</v>
      </c>
      <c r="G2" s="10">
        <v>43160</v>
      </c>
      <c r="H2" s="10">
        <v>43525</v>
      </c>
      <c r="I2" s="10">
        <v>43891</v>
      </c>
      <c r="J2" s="10">
        <v>44256</v>
      </c>
      <c r="K2" s="10">
        <v>44621</v>
      </c>
      <c r="L2" s="10">
        <v>44986</v>
      </c>
    </row>
    <row r="3" spans="2:12" x14ac:dyDescent="0.3">
      <c r="B3" s="2" t="s">
        <v>88</v>
      </c>
      <c r="C3" s="23">
        <v>198</v>
      </c>
      <c r="D3" s="23">
        <v>222</v>
      </c>
      <c r="E3" s="23">
        <v>433</v>
      </c>
      <c r="F3" s="23">
        <v>455</v>
      </c>
      <c r="G3" s="23">
        <v>730</v>
      </c>
      <c r="H3" s="23">
        <v>807</v>
      </c>
      <c r="I3" s="23">
        <v>1280</v>
      </c>
      <c r="J3" s="23">
        <v>1375</v>
      </c>
      <c r="K3" s="21">
        <v>1372</v>
      </c>
      <c r="L3" s="21">
        <v>2630</v>
      </c>
    </row>
    <row r="4" spans="2:12" x14ac:dyDescent="0.3">
      <c r="B4" t="s">
        <v>89</v>
      </c>
      <c r="C4" s="21">
        <v>356</v>
      </c>
      <c r="D4" s="21">
        <v>474</v>
      </c>
      <c r="E4" s="21">
        <v>666</v>
      </c>
      <c r="F4" s="21">
        <v>984</v>
      </c>
      <c r="G4" s="21">
        <v>1375</v>
      </c>
      <c r="H4" s="21">
        <v>1659</v>
      </c>
      <c r="I4" s="21">
        <v>2149</v>
      </c>
      <c r="J4" s="21">
        <v>1764</v>
      </c>
      <c r="K4" s="21">
        <v>2515</v>
      </c>
      <c r="L4" s="21">
        <v>3659</v>
      </c>
    </row>
    <row r="5" spans="2:12" x14ac:dyDescent="0.3">
      <c r="B5" t="s">
        <v>42</v>
      </c>
      <c r="C5" s="21">
        <v>4</v>
      </c>
      <c r="D5" s="21">
        <v>2</v>
      </c>
      <c r="E5" s="21">
        <v>-1</v>
      </c>
      <c r="F5" s="21">
        <v>54</v>
      </c>
      <c r="G5" s="21">
        <v>-13</v>
      </c>
      <c r="H5" s="21">
        <v>-31</v>
      </c>
      <c r="I5">
        <v>45</v>
      </c>
      <c r="J5" s="21">
        <v>-24</v>
      </c>
      <c r="K5">
        <v>-23</v>
      </c>
      <c r="L5">
        <v>5</v>
      </c>
    </row>
    <row r="6" spans="2:12" x14ac:dyDescent="0.3">
      <c r="B6" t="s">
        <v>29</v>
      </c>
      <c r="C6" s="21">
        <v>-102</v>
      </c>
      <c r="D6" s="21">
        <v>-161</v>
      </c>
      <c r="E6" s="21">
        <v>-132</v>
      </c>
      <c r="F6" s="21">
        <v>-276</v>
      </c>
      <c r="G6" s="21">
        <v>-212</v>
      </c>
      <c r="H6" s="21">
        <v>-445</v>
      </c>
      <c r="I6">
        <v>-339</v>
      </c>
      <c r="J6" s="21">
        <v>-301</v>
      </c>
      <c r="K6">
        <v>-494</v>
      </c>
      <c r="L6">
        <v>-501</v>
      </c>
    </row>
    <row r="7" spans="2:12" x14ac:dyDescent="0.3">
      <c r="B7" t="s">
        <v>90</v>
      </c>
      <c r="C7" s="21">
        <v>28</v>
      </c>
      <c r="D7" s="21">
        <v>-4</v>
      </c>
      <c r="E7" s="21">
        <v>72</v>
      </c>
      <c r="F7" s="21">
        <v>0</v>
      </c>
      <c r="G7" s="21">
        <v>55</v>
      </c>
      <c r="H7" s="21">
        <v>146</v>
      </c>
      <c r="I7" s="21">
        <v>-30</v>
      </c>
      <c r="J7" s="21">
        <v>145</v>
      </c>
      <c r="K7">
        <v>11</v>
      </c>
      <c r="L7">
        <v>165</v>
      </c>
    </row>
    <row r="8" spans="2:12" x14ac:dyDescent="0.3">
      <c r="B8" t="s">
        <v>91</v>
      </c>
      <c r="C8">
        <v>-18</v>
      </c>
      <c r="D8">
        <v>-5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2:12" x14ac:dyDescent="0.3">
      <c r="B9" t="s">
        <v>153</v>
      </c>
      <c r="C9" s="21">
        <v>0</v>
      </c>
      <c r="D9" s="21">
        <v>0</v>
      </c>
      <c r="E9">
        <v>0</v>
      </c>
      <c r="F9" s="21">
        <v>-2</v>
      </c>
      <c r="G9">
        <v>-62</v>
      </c>
      <c r="H9" s="21">
        <v>52</v>
      </c>
      <c r="I9" s="21">
        <v>2</v>
      </c>
      <c r="J9" s="21">
        <v>12</v>
      </c>
      <c r="K9">
        <v>-3</v>
      </c>
      <c r="L9">
        <v>0</v>
      </c>
    </row>
    <row r="10" spans="2:12" x14ac:dyDescent="0.3">
      <c r="B10" t="s">
        <v>92</v>
      </c>
      <c r="C10" s="21">
        <v>6</v>
      </c>
      <c r="D10" s="21">
        <v>16</v>
      </c>
      <c r="E10" s="21">
        <v>-7</v>
      </c>
      <c r="F10" s="21">
        <v>-46</v>
      </c>
      <c r="G10" s="21">
        <v>-11</v>
      </c>
      <c r="H10">
        <v>-72</v>
      </c>
      <c r="I10" s="21">
        <v>-54</v>
      </c>
      <c r="J10" s="21">
        <v>41</v>
      </c>
      <c r="K10">
        <v>-73</v>
      </c>
      <c r="L10">
        <v>12</v>
      </c>
    </row>
    <row r="11" spans="2:12" x14ac:dyDescent="0.3">
      <c r="B11" t="s">
        <v>93</v>
      </c>
      <c r="C11" s="21">
        <v>-83</v>
      </c>
      <c r="D11" s="21">
        <v>-152</v>
      </c>
      <c r="E11" s="21">
        <v>-69</v>
      </c>
      <c r="F11" s="21">
        <v>-270</v>
      </c>
      <c r="G11" s="21">
        <v>-243</v>
      </c>
      <c r="H11" s="21">
        <v>-351</v>
      </c>
      <c r="I11" s="21">
        <v>-376</v>
      </c>
      <c r="J11" s="21">
        <v>-127</v>
      </c>
      <c r="K11">
        <v>-582</v>
      </c>
      <c r="L11">
        <v>-320</v>
      </c>
    </row>
    <row r="12" spans="2:12" x14ac:dyDescent="0.3">
      <c r="B12" t="s">
        <v>94</v>
      </c>
      <c r="C12" s="21">
        <v>-75</v>
      </c>
      <c r="D12" s="21">
        <v>-100</v>
      </c>
      <c r="E12" s="21">
        <v>-164</v>
      </c>
      <c r="F12" s="21">
        <v>-258</v>
      </c>
      <c r="G12" s="21">
        <v>-403</v>
      </c>
      <c r="H12" s="21">
        <v>-502</v>
      </c>
      <c r="I12" s="21">
        <v>-492</v>
      </c>
      <c r="J12" s="21">
        <v>-262</v>
      </c>
      <c r="K12">
        <v>-560</v>
      </c>
      <c r="L12">
        <v>-709</v>
      </c>
    </row>
    <row r="13" spans="2:12" x14ac:dyDescent="0.3">
      <c r="B13" s="2" t="s">
        <v>95</v>
      </c>
      <c r="C13" s="23">
        <v>-270</v>
      </c>
      <c r="D13" s="23">
        <v>-474</v>
      </c>
      <c r="E13" s="23">
        <v>-633</v>
      </c>
      <c r="F13" s="23">
        <v>-2482</v>
      </c>
      <c r="G13" s="23">
        <v>464</v>
      </c>
      <c r="H13" s="23">
        <v>-958</v>
      </c>
      <c r="I13" s="23">
        <v>-4657</v>
      </c>
      <c r="J13" s="23">
        <v>-1110</v>
      </c>
      <c r="K13" s="23">
        <v>-1289</v>
      </c>
      <c r="L13" s="23">
        <v>-2313</v>
      </c>
    </row>
    <row r="14" spans="2:12" x14ac:dyDescent="0.3">
      <c r="B14" t="s">
        <v>96</v>
      </c>
      <c r="C14">
        <v>-272</v>
      </c>
      <c r="D14">
        <v>-477</v>
      </c>
      <c r="E14">
        <v>0</v>
      </c>
      <c r="F14">
        <v>-645</v>
      </c>
      <c r="G14">
        <v>-916</v>
      </c>
      <c r="H14" s="21">
        <v>-1417</v>
      </c>
      <c r="I14" s="21">
        <v>-1712</v>
      </c>
      <c r="J14" s="21">
        <v>-2029</v>
      </c>
      <c r="K14" s="21">
        <v>-2410</v>
      </c>
      <c r="L14" s="21">
        <v>-2212</v>
      </c>
    </row>
    <row r="15" spans="2:12" x14ac:dyDescent="0.3">
      <c r="B15" t="s">
        <v>97</v>
      </c>
      <c r="C15" s="21">
        <v>1</v>
      </c>
      <c r="D15">
        <v>0</v>
      </c>
      <c r="E15">
        <v>2</v>
      </c>
      <c r="F15">
        <v>10</v>
      </c>
      <c r="G15" s="21">
        <v>7</v>
      </c>
      <c r="H15" s="21">
        <v>8</v>
      </c>
      <c r="I15" s="21">
        <v>6</v>
      </c>
      <c r="J15">
        <v>2</v>
      </c>
      <c r="K15">
        <v>21</v>
      </c>
      <c r="L15">
        <v>5</v>
      </c>
    </row>
    <row r="16" spans="2:12" x14ac:dyDescent="0.3">
      <c r="B16" t="s">
        <v>98</v>
      </c>
      <c r="C16">
        <v>-644</v>
      </c>
      <c r="D16" s="21">
        <v>-2901</v>
      </c>
      <c r="E16" s="21">
        <v>-638</v>
      </c>
      <c r="F16" s="21">
        <v>0</v>
      </c>
      <c r="G16">
        <v>0</v>
      </c>
      <c r="H16">
        <v>0</v>
      </c>
      <c r="I16">
        <v>0</v>
      </c>
      <c r="J16" s="21">
        <v>0</v>
      </c>
      <c r="K16">
        <v>0</v>
      </c>
      <c r="L16">
        <v>-193</v>
      </c>
    </row>
    <row r="17" spans="2:12" x14ac:dyDescent="0.3">
      <c r="B17" t="s">
        <v>99</v>
      </c>
      <c r="C17">
        <v>645</v>
      </c>
      <c r="D17" s="21">
        <v>2904</v>
      </c>
      <c r="E17">
        <v>0</v>
      </c>
      <c r="F17">
        <v>0</v>
      </c>
      <c r="G17" s="21">
        <v>1376</v>
      </c>
      <c r="H17">
        <v>410</v>
      </c>
      <c r="I17">
        <v>232</v>
      </c>
      <c r="J17">
        <v>3</v>
      </c>
      <c r="K17">
        <v>4</v>
      </c>
      <c r="L17">
        <v>6</v>
      </c>
    </row>
    <row r="18" spans="2:12" x14ac:dyDescent="0.3">
      <c r="B18" t="s">
        <v>154</v>
      </c>
      <c r="C18">
        <v>0</v>
      </c>
      <c r="D18">
        <v>0</v>
      </c>
      <c r="E18" s="21">
        <v>3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2:12" x14ac:dyDescent="0.3">
      <c r="B19" t="s">
        <v>100</v>
      </c>
      <c r="C19">
        <v>0</v>
      </c>
      <c r="D19">
        <v>0</v>
      </c>
      <c r="E19">
        <v>1</v>
      </c>
      <c r="F19">
        <v>1</v>
      </c>
      <c r="G19">
        <v>31</v>
      </c>
      <c r="H19">
        <v>36</v>
      </c>
      <c r="I19">
        <v>12</v>
      </c>
      <c r="J19">
        <v>129</v>
      </c>
      <c r="K19">
        <v>43</v>
      </c>
      <c r="L19">
        <v>39</v>
      </c>
    </row>
    <row r="20" spans="2:12" x14ac:dyDescent="0.3"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2:12" x14ac:dyDescent="0.3">
      <c r="B21" t="s">
        <v>102</v>
      </c>
      <c r="C21">
        <v>0</v>
      </c>
      <c r="D21">
        <v>0</v>
      </c>
      <c r="E21">
        <v>-14</v>
      </c>
      <c r="F21">
        <v>-21</v>
      </c>
      <c r="G21">
        <v>-49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2:12" x14ac:dyDescent="0.3">
      <c r="B22" t="s">
        <v>103</v>
      </c>
      <c r="C22">
        <v>0</v>
      </c>
      <c r="D22">
        <v>0</v>
      </c>
      <c r="E22">
        <v>0</v>
      </c>
      <c r="F22">
        <v>0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2:12" x14ac:dyDescent="0.3">
      <c r="B23" t="s">
        <v>104</v>
      </c>
      <c r="C23">
        <v>0</v>
      </c>
      <c r="D23">
        <v>0</v>
      </c>
      <c r="E23">
        <v>14</v>
      </c>
      <c r="F23" s="21">
        <v>-1835</v>
      </c>
      <c r="G23">
        <v>7</v>
      </c>
      <c r="H23">
        <v>3</v>
      </c>
      <c r="I23" s="21">
        <v>-3194</v>
      </c>
      <c r="J23">
        <v>786</v>
      </c>
      <c r="K23" s="21">
        <v>1054</v>
      </c>
      <c r="L23">
        <v>42</v>
      </c>
    </row>
    <row r="24" spans="2:12" x14ac:dyDescent="0.3">
      <c r="B24" s="2" t="s">
        <v>105</v>
      </c>
      <c r="C24" s="23">
        <v>65</v>
      </c>
      <c r="D24" s="23">
        <v>234</v>
      </c>
      <c r="E24" s="23">
        <v>196</v>
      </c>
      <c r="F24" s="23">
        <v>2025</v>
      </c>
      <c r="G24" s="23">
        <v>-1159</v>
      </c>
      <c r="H24" s="23">
        <v>209</v>
      </c>
      <c r="I24" s="23">
        <v>3357</v>
      </c>
      <c r="J24" s="23">
        <v>-180</v>
      </c>
      <c r="K24" s="2">
        <v>-179</v>
      </c>
      <c r="L24" s="2">
        <v>-205</v>
      </c>
    </row>
    <row r="25" spans="2:12" x14ac:dyDescent="0.3">
      <c r="B25" t="s">
        <v>106</v>
      </c>
      <c r="C25" s="21">
        <v>5</v>
      </c>
      <c r="D25" s="21">
        <v>33</v>
      </c>
      <c r="E25" s="21">
        <v>0</v>
      </c>
      <c r="F25" s="21">
        <v>1841</v>
      </c>
      <c r="G25" s="21">
        <v>0</v>
      </c>
      <c r="H25" s="21">
        <v>0</v>
      </c>
      <c r="I25" s="21">
        <v>110</v>
      </c>
      <c r="J25" s="21">
        <v>0</v>
      </c>
      <c r="K25">
        <v>0</v>
      </c>
      <c r="L25">
        <v>15</v>
      </c>
    </row>
    <row r="26" spans="2:12" x14ac:dyDescent="0.3">
      <c r="B26" t="s">
        <v>155</v>
      </c>
      <c r="C26" s="21">
        <v>0</v>
      </c>
      <c r="D26">
        <v>200</v>
      </c>
      <c r="E26">
        <v>350</v>
      </c>
      <c r="F26">
        <v>250</v>
      </c>
      <c r="G26" s="21">
        <v>0</v>
      </c>
      <c r="H26" s="21">
        <v>0</v>
      </c>
      <c r="I26">
        <v>300</v>
      </c>
      <c r="J26">
        <v>0</v>
      </c>
      <c r="K26">
        <v>0</v>
      </c>
      <c r="L26">
        <v>0</v>
      </c>
    </row>
    <row r="27" spans="2:12" x14ac:dyDescent="0.3">
      <c r="B27" t="s">
        <v>107</v>
      </c>
      <c r="C27">
        <v>0</v>
      </c>
      <c r="D27">
        <v>0</v>
      </c>
      <c r="E27">
        <v>0</v>
      </c>
      <c r="F27">
        <v>0</v>
      </c>
      <c r="G27">
        <v>-384</v>
      </c>
      <c r="H27">
        <v>-170</v>
      </c>
      <c r="I27">
        <v>-512</v>
      </c>
      <c r="J27">
        <v>-34</v>
      </c>
      <c r="K27">
        <v>0</v>
      </c>
      <c r="L27">
        <v>0</v>
      </c>
    </row>
    <row r="28" spans="2:12" x14ac:dyDescent="0.3">
      <c r="B28" t="s">
        <v>108</v>
      </c>
      <c r="C28" s="21">
        <v>245</v>
      </c>
      <c r="D28" s="21">
        <v>295</v>
      </c>
      <c r="E28" s="21">
        <v>-60</v>
      </c>
      <c r="F28" s="21">
        <v>260</v>
      </c>
      <c r="G28" s="21">
        <v>0</v>
      </c>
      <c r="H28" s="21">
        <v>992</v>
      </c>
      <c r="I28" s="21">
        <v>1100</v>
      </c>
      <c r="J28" s="21">
        <v>200</v>
      </c>
      <c r="K28">
        <v>248</v>
      </c>
      <c r="L28">
        <v>0</v>
      </c>
    </row>
    <row r="29" spans="2:12" x14ac:dyDescent="0.3">
      <c r="B29" t="s">
        <v>109</v>
      </c>
      <c r="C29" s="21">
        <v>-130</v>
      </c>
      <c r="D29" s="21">
        <v>-232</v>
      </c>
      <c r="E29" s="21">
        <v>0</v>
      </c>
      <c r="F29" s="21">
        <v>-155</v>
      </c>
      <c r="G29" s="21">
        <v>-695</v>
      </c>
      <c r="H29" s="21">
        <v>-562</v>
      </c>
      <c r="I29" s="21">
        <v>-1550</v>
      </c>
      <c r="J29" s="21">
        <v>-204</v>
      </c>
      <c r="K29">
        <v>-248</v>
      </c>
      <c r="L29">
        <v>0</v>
      </c>
    </row>
    <row r="30" spans="2:12" x14ac:dyDescent="0.3">
      <c r="B30" t="s">
        <v>110</v>
      </c>
      <c r="C30" s="21">
        <v>-54</v>
      </c>
      <c r="D30" s="21">
        <v>-62</v>
      </c>
      <c r="E30" s="21">
        <v>-93</v>
      </c>
      <c r="F30" s="21">
        <v>-120</v>
      </c>
      <c r="G30" s="21">
        <v>-80</v>
      </c>
      <c r="H30" s="21">
        <v>-51</v>
      </c>
      <c r="I30" s="21">
        <v>-98</v>
      </c>
      <c r="J30" s="21">
        <v>-44</v>
      </c>
      <c r="K30">
        <v>-54</v>
      </c>
      <c r="L30">
        <v>-67</v>
      </c>
    </row>
    <row r="31" spans="2:12" x14ac:dyDescent="0.3">
      <c r="B31" t="s">
        <v>111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-70</v>
      </c>
      <c r="J31">
        <v>-98</v>
      </c>
      <c r="K31">
        <v>-125</v>
      </c>
      <c r="L31">
        <v>-307</v>
      </c>
    </row>
    <row r="32" spans="2:12" x14ac:dyDescent="0.3">
      <c r="B32" t="s">
        <v>156</v>
      </c>
      <c r="C32">
        <v>0</v>
      </c>
      <c r="D32">
        <v>0</v>
      </c>
      <c r="E32">
        <v>0</v>
      </c>
      <c r="F32">
        <v>0</v>
      </c>
      <c r="G32" s="21">
        <v>0</v>
      </c>
      <c r="H32" s="21">
        <v>0</v>
      </c>
      <c r="I32" s="21">
        <v>0</v>
      </c>
      <c r="J32" s="21">
        <v>0</v>
      </c>
      <c r="K32">
        <v>0</v>
      </c>
      <c r="L32">
        <v>1</v>
      </c>
    </row>
    <row r="33" spans="2:12" x14ac:dyDescent="0.3">
      <c r="B33" t="s">
        <v>112</v>
      </c>
      <c r="C33">
        <v>0</v>
      </c>
      <c r="D33">
        <v>0</v>
      </c>
      <c r="E33">
        <v>0</v>
      </c>
      <c r="F33">
        <v>-50</v>
      </c>
      <c r="G33">
        <v>0</v>
      </c>
      <c r="H33">
        <v>0</v>
      </c>
      <c r="I33" s="21">
        <v>4077</v>
      </c>
      <c r="J33" s="21">
        <v>0</v>
      </c>
      <c r="K33">
        <v>0</v>
      </c>
      <c r="L33">
        <v>153</v>
      </c>
    </row>
    <row r="34" spans="2:12" x14ac:dyDescent="0.3">
      <c r="B34" s="22" t="s">
        <v>20</v>
      </c>
      <c r="C34" s="24">
        <v>-7</v>
      </c>
      <c r="D34" s="24">
        <v>-17</v>
      </c>
      <c r="E34" s="22">
        <v>-3</v>
      </c>
      <c r="F34" s="24">
        <v>-1</v>
      </c>
      <c r="G34" s="24">
        <v>34</v>
      </c>
      <c r="H34" s="24">
        <v>57</v>
      </c>
      <c r="I34" s="24">
        <v>-19</v>
      </c>
      <c r="J34" s="24">
        <v>86</v>
      </c>
      <c r="K34">
        <v>-96</v>
      </c>
      <c r="L3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Financials</vt:lpstr>
      <vt:lpstr>Historical FS</vt:lpstr>
      <vt:lpstr>Ratio Analysis</vt:lpstr>
      <vt:lpstr>Forecasting</vt:lpstr>
      <vt:lpstr>Peer Analysis</vt:lpstr>
      <vt:lpstr>Data</vt:lpstr>
      <vt:lpstr>Data Sheet</vt:lpstr>
      <vt:lpstr>Cash Flow 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Aniruddha</cp:lastModifiedBy>
  <cp:lastPrinted>2012-12-06T18:14:13Z</cp:lastPrinted>
  <dcterms:created xsi:type="dcterms:W3CDTF">2012-08-17T09:55:37Z</dcterms:created>
  <dcterms:modified xsi:type="dcterms:W3CDTF">2023-07-21T17:22:41Z</dcterms:modified>
</cp:coreProperties>
</file>