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ruddha\Downloads\"/>
    </mc:Choice>
  </mc:AlternateContent>
  <xr:revisionPtr revIDLastSave="0" documentId="13_ncr:1_{920E3B25-063A-4E61-ACB8-E10A0CCCA5F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inancials" sheetId="8" r:id="rId1"/>
    <sheet name="Historical FS" sheetId="7" r:id="rId2"/>
    <sheet name="Ratio Analysis" sheetId="11" r:id="rId3"/>
    <sheet name="Forecasting" sheetId="13" r:id="rId4"/>
    <sheet name="Peer Analysis" sheetId="12" r:id="rId5"/>
    <sheet name="Data" sheetId="9" r:id="rId6"/>
    <sheet name="Data Sheet" sheetId="6" r:id="rId7"/>
    <sheet name="Cash Flow Data" sheetId="10" r:id="rId8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9" i="13" l="1"/>
  <c r="N18" i="13"/>
  <c r="O18" i="13" s="1"/>
  <c r="N17" i="13"/>
  <c r="O17" i="13" s="1"/>
  <c r="N16" i="13"/>
  <c r="N15" i="13"/>
  <c r="O15" i="13" s="1"/>
  <c r="O19" i="13"/>
  <c r="O14" i="13"/>
  <c r="O13" i="13"/>
  <c r="O12" i="13"/>
  <c r="O11" i="13"/>
  <c r="O10" i="13"/>
  <c r="O9" i="13"/>
  <c r="O8" i="13"/>
  <c r="O7" i="13"/>
  <c r="O6" i="13"/>
  <c r="N5" i="13" a="1"/>
  <c r="N5" i="13" s="1"/>
  <c r="L6" i="13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M5" i="13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L3" i="13"/>
  <c r="I19" i="13"/>
  <c r="J19" i="13" s="1"/>
  <c r="I18" i="13"/>
  <c r="I17" i="13"/>
  <c r="J17" i="13" s="1"/>
  <c r="I16" i="13"/>
  <c r="I15" i="13"/>
  <c r="J14" i="13"/>
  <c r="J13" i="13"/>
  <c r="J12" i="13"/>
  <c r="J11" i="13"/>
  <c r="J10" i="13"/>
  <c r="J9" i="13"/>
  <c r="J8" i="13"/>
  <c r="J7" i="13"/>
  <c r="J6" i="13"/>
  <c r="I5" i="13" a="1"/>
  <c r="I12" i="13" s="1"/>
  <c r="H6" i="13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5" i="13"/>
  <c r="G7" i="13"/>
  <c r="G8" i="13" s="1"/>
  <c r="G9" i="13" s="1"/>
  <c r="G10" i="13" s="1"/>
  <c r="G11" i="13" s="1"/>
  <c r="G12" i="13" s="1"/>
  <c r="G13" i="13" s="1"/>
  <c r="G14" i="13" s="1"/>
  <c r="G15" i="13" s="1"/>
  <c r="G16" i="13" s="1"/>
  <c r="G17" i="13" s="1"/>
  <c r="G18" i="13" s="1"/>
  <c r="G19" i="13" s="1"/>
  <c r="G6" i="13"/>
  <c r="G3" i="13"/>
  <c r="B3" i="13"/>
  <c r="D19" i="13"/>
  <c r="D18" i="13"/>
  <c r="E18" i="13" s="1"/>
  <c r="D17" i="13"/>
  <c r="E17" i="13" s="1"/>
  <c r="D16" i="13"/>
  <c r="D15" i="13"/>
  <c r="E16" i="13" s="1"/>
  <c r="E19" i="13"/>
  <c r="E14" i="13"/>
  <c r="E13" i="13"/>
  <c r="E12" i="13"/>
  <c r="E11" i="13"/>
  <c r="E10" i="13"/>
  <c r="E9" i="13"/>
  <c r="E8" i="13"/>
  <c r="E7" i="13"/>
  <c r="E6" i="13"/>
  <c r="D5" i="13" a="1"/>
  <c r="D5" i="13" s="1"/>
  <c r="C16" i="13"/>
  <c r="C17" i="13" s="1"/>
  <c r="C18" i="13" s="1"/>
  <c r="C19" i="13" s="1"/>
  <c r="B16" i="13"/>
  <c r="B17" i="13" s="1"/>
  <c r="B18" i="13" s="1"/>
  <c r="B19" i="13" s="1"/>
  <c r="C15" i="13"/>
  <c r="C7" i="13"/>
  <c r="C8" i="13" s="1"/>
  <c r="C9" i="13" s="1"/>
  <c r="C10" i="13" s="1"/>
  <c r="C11" i="13" s="1"/>
  <c r="C12" i="13" s="1"/>
  <c r="C13" i="13" s="1"/>
  <c r="C14" i="13" s="1"/>
  <c r="B14" i="13"/>
  <c r="C6" i="13"/>
  <c r="C5" i="13"/>
  <c r="B8" i="13"/>
  <c r="B9" i="13" s="1"/>
  <c r="B10" i="13" s="1"/>
  <c r="B11" i="13" s="1"/>
  <c r="B12" i="13" s="1"/>
  <c r="B13" i="13" s="1"/>
  <c r="B7" i="13"/>
  <c r="B6" i="13"/>
  <c r="O16" i="13" l="1"/>
  <c r="N11" i="13"/>
  <c r="N12" i="13"/>
  <c r="N10" i="13"/>
  <c r="N8" i="13"/>
  <c r="N7" i="13"/>
  <c r="N14" i="13"/>
  <c r="N6" i="13"/>
  <c r="N9" i="13"/>
  <c r="N13" i="13"/>
  <c r="J18" i="13"/>
  <c r="J16" i="13"/>
  <c r="J15" i="13"/>
  <c r="I11" i="13"/>
  <c r="I13" i="13"/>
  <c r="I14" i="13"/>
  <c r="I5" i="13"/>
  <c r="I10" i="13"/>
  <c r="I9" i="13"/>
  <c r="I8" i="13"/>
  <c r="I7" i="13"/>
  <c r="I6" i="13"/>
  <c r="E15" i="13"/>
  <c r="D12" i="13"/>
  <c r="D11" i="13"/>
  <c r="D10" i="13"/>
  <c r="D9" i="13"/>
  <c r="D8" i="13"/>
  <c r="D7" i="13"/>
  <c r="D14" i="13"/>
  <c r="D6" i="13"/>
  <c r="D13" i="13"/>
  <c r="B15" i="13"/>
  <c r="O41" i="11" l="1"/>
  <c r="N41" i="11"/>
  <c r="O40" i="11"/>
  <c r="N40" i="11"/>
  <c r="O39" i="11"/>
  <c r="N39" i="11"/>
  <c r="O37" i="11"/>
  <c r="N37" i="11"/>
  <c r="O36" i="11"/>
  <c r="N36" i="11"/>
  <c r="O35" i="11"/>
  <c r="N35" i="11"/>
  <c r="O34" i="11"/>
  <c r="N34" i="11"/>
  <c r="O31" i="11"/>
  <c r="N31" i="11"/>
  <c r="O30" i="11"/>
  <c r="N30" i="11"/>
  <c r="O29" i="11"/>
  <c r="N29" i="11"/>
  <c r="O28" i="11"/>
  <c r="N28" i="11"/>
  <c r="O27" i="11"/>
  <c r="N27" i="11"/>
  <c r="O26" i="11"/>
  <c r="N26" i="11"/>
  <c r="O24" i="11"/>
  <c r="N24" i="11"/>
  <c r="O23" i="11"/>
  <c r="N23" i="11"/>
  <c r="O22" i="11"/>
  <c r="N22" i="11"/>
  <c r="O21" i="11"/>
  <c r="N21" i="11"/>
  <c r="O20" i="11"/>
  <c r="N20" i="11"/>
  <c r="O19" i="11"/>
  <c r="N19" i="11"/>
  <c r="O18" i="11"/>
  <c r="N18" i="11"/>
  <c r="O17" i="11"/>
  <c r="N17" i="11"/>
  <c r="O15" i="11"/>
  <c r="N15" i="11"/>
  <c r="O14" i="11"/>
  <c r="N14" i="11"/>
  <c r="O13" i="11"/>
  <c r="N13" i="11"/>
  <c r="O12" i="11"/>
  <c r="N12" i="11"/>
  <c r="O11" i="11"/>
  <c r="N11" i="11"/>
  <c r="O9" i="11"/>
  <c r="N9" i="11"/>
  <c r="O8" i="11"/>
  <c r="N8" i="11"/>
  <c r="O7" i="11"/>
  <c r="N7" i="11"/>
  <c r="O6" i="11"/>
  <c r="N6" i="11"/>
  <c r="O5" i="11"/>
  <c r="N5" i="11"/>
  <c r="L41" i="11"/>
  <c r="K41" i="11"/>
  <c r="J41" i="11"/>
  <c r="I41" i="11"/>
  <c r="H41" i="11"/>
  <c r="G41" i="11"/>
  <c r="F41" i="11"/>
  <c r="E41" i="11"/>
  <c r="D41" i="11"/>
  <c r="L40" i="11"/>
  <c r="K40" i="11"/>
  <c r="J40" i="11"/>
  <c r="I40" i="11"/>
  <c r="H40" i="11"/>
  <c r="G40" i="11"/>
  <c r="F40" i="11"/>
  <c r="E40" i="11"/>
  <c r="D40" i="11"/>
  <c r="L39" i="11"/>
  <c r="K39" i="11"/>
  <c r="J39" i="11"/>
  <c r="I39" i="11"/>
  <c r="H39" i="11"/>
  <c r="G39" i="11"/>
  <c r="F39" i="11"/>
  <c r="E39" i="11"/>
  <c r="D39" i="11"/>
  <c r="H36" i="11"/>
  <c r="G36" i="11"/>
  <c r="I35" i="11"/>
  <c r="H35" i="11"/>
  <c r="H37" i="11" s="1"/>
  <c r="J34" i="11"/>
  <c r="I34" i="11"/>
  <c r="L31" i="11"/>
  <c r="K31" i="11"/>
  <c r="J31" i="11"/>
  <c r="I31" i="11"/>
  <c r="H31" i="11"/>
  <c r="G31" i="11"/>
  <c r="F31" i="11"/>
  <c r="E31" i="11"/>
  <c r="D31" i="11"/>
  <c r="L30" i="11"/>
  <c r="K30" i="11"/>
  <c r="J30" i="11"/>
  <c r="I30" i="11"/>
  <c r="H30" i="11"/>
  <c r="G30" i="11"/>
  <c r="F30" i="11"/>
  <c r="E30" i="11"/>
  <c r="D30" i="11"/>
  <c r="L29" i="11"/>
  <c r="L36" i="11" s="1"/>
  <c r="K29" i="11"/>
  <c r="K36" i="11" s="1"/>
  <c r="J29" i="11"/>
  <c r="J36" i="11" s="1"/>
  <c r="I29" i="11"/>
  <c r="I36" i="11" s="1"/>
  <c r="H29" i="11"/>
  <c r="G29" i="11"/>
  <c r="F29" i="11"/>
  <c r="F36" i="11" s="1"/>
  <c r="E29" i="11"/>
  <c r="E36" i="11" s="1"/>
  <c r="D29" i="11"/>
  <c r="D36" i="11" s="1"/>
  <c r="L28" i="11"/>
  <c r="L35" i="11" s="1"/>
  <c r="L37" i="11" s="1"/>
  <c r="K28" i="11"/>
  <c r="K35" i="11" s="1"/>
  <c r="J28" i="11"/>
  <c r="J35" i="11" s="1"/>
  <c r="J37" i="11" s="1"/>
  <c r="I28" i="11"/>
  <c r="H28" i="11"/>
  <c r="G28" i="11"/>
  <c r="G35" i="11" s="1"/>
  <c r="F28" i="11"/>
  <c r="F35" i="11" s="1"/>
  <c r="F37" i="11" s="1"/>
  <c r="E28" i="11"/>
  <c r="E35" i="11" s="1"/>
  <c r="D28" i="11"/>
  <c r="D35" i="11" s="1"/>
  <c r="D37" i="11" s="1"/>
  <c r="L27" i="11"/>
  <c r="L34" i="11" s="1"/>
  <c r="K27" i="11"/>
  <c r="K34" i="11" s="1"/>
  <c r="J27" i="11"/>
  <c r="I27" i="11"/>
  <c r="H27" i="11"/>
  <c r="H34" i="11" s="1"/>
  <c r="G27" i="11"/>
  <c r="G34" i="11" s="1"/>
  <c r="F27" i="11"/>
  <c r="F34" i="11" s="1"/>
  <c r="E27" i="11"/>
  <c r="E34" i="11" s="1"/>
  <c r="D27" i="11"/>
  <c r="D34" i="11" s="1"/>
  <c r="L26" i="11"/>
  <c r="K26" i="11"/>
  <c r="J26" i="11"/>
  <c r="I26" i="11"/>
  <c r="H26" i="11"/>
  <c r="G26" i="11"/>
  <c r="F26" i="11"/>
  <c r="E26" i="11"/>
  <c r="D26" i="11"/>
  <c r="H24" i="11"/>
  <c r="E24" i="11"/>
  <c r="L23" i="11"/>
  <c r="K23" i="11"/>
  <c r="J23" i="11"/>
  <c r="I23" i="11"/>
  <c r="I24" i="11" s="1"/>
  <c r="H23" i="11"/>
  <c r="G23" i="11"/>
  <c r="F23" i="11"/>
  <c r="E23" i="11"/>
  <c r="D23" i="11"/>
  <c r="L22" i="11"/>
  <c r="L24" i="11" s="1"/>
  <c r="K22" i="11"/>
  <c r="K24" i="11" s="1"/>
  <c r="J22" i="11"/>
  <c r="J24" i="11" s="1"/>
  <c r="I22" i="11"/>
  <c r="H22" i="11"/>
  <c r="G22" i="11"/>
  <c r="G24" i="11" s="1"/>
  <c r="F22" i="11"/>
  <c r="F24" i="11" s="1"/>
  <c r="E22" i="11"/>
  <c r="D22" i="11"/>
  <c r="D24" i="11" s="1"/>
  <c r="L21" i="11"/>
  <c r="K21" i="11"/>
  <c r="J21" i="11"/>
  <c r="I21" i="11"/>
  <c r="H21" i="11"/>
  <c r="G21" i="11"/>
  <c r="F21" i="11"/>
  <c r="E21" i="11"/>
  <c r="D21" i="11"/>
  <c r="L19" i="11"/>
  <c r="F19" i="11"/>
  <c r="E19" i="11"/>
  <c r="D19" i="11"/>
  <c r="L18" i="11"/>
  <c r="K18" i="11"/>
  <c r="J18" i="11"/>
  <c r="I18" i="11"/>
  <c r="H18" i="11"/>
  <c r="G18" i="11"/>
  <c r="F18" i="11"/>
  <c r="E18" i="11"/>
  <c r="D18" i="11"/>
  <c r="L17" i="11"/>
  <c r="K17" i="11"/>
  <c r="J17" i="11"/>
  <c r="I17" i="11"/>
  <c r="H17" i="11"/>
  <c r="G17" i="11"/>
  <c r="F17" i="11"/>
  <c r="E17" i="11"/>
  <c r="D17" i="11"/>
  <c r="L15" i="11"/>
  <c r="K15" i="11"/>
  <c r="J15" i="11"/>
  <c r="I15" i="11"/>
  <c r="H15" i="11"/>
  <c r="G15" i="11"/>
  <c r="F15" i="11"/>
  <c r="E15" i="11"/>
  <c r="D15" i="11"/>
  <c r="L14" i="11"/>
  <c r="K14" i="11"/>
  <c r="J14" i="11"/>
  <c r="I14" i="11"/>
  <c r="H14" i="11"/>
  <c r="G14" i="11"/>
  <c r="F14" i="11"/>
  <c r="E14" i="11"/>
  <c r="D14" i="11"/>
  <c r="L13" i="11"/>
  <c r="K13" i="11"/>
  <c r="K19" i="11" s="1"/>
  <c r="J13" i="11"/>
  <c r="J19" i="11" s="1"/>
  <c r="I13" i="11"/>
  <c r="I19" i="11" s="1"/>
  <c r="H13" i="11"/>
  <c r="H19" i="11" s="1"/>
  <c r="G13" i="11"/>
  <c r="G19" i="11" s="1"/>
  <c r="F13" i="11"/>
  <c r="E13" i="11"/>
  <c r="D13" i="11"/>
  <c r="L12" i="11"/>
  <c r="K12" i="11"/>
  <c r="J12" i="11"/>
  <c r="I12" i="11"/>
  <c r="H12" i="11"/>
  <c r="G12" i="11"/>
  <c r="F12" i="11"/>
  <c r="E12" i="11"/>
  <c r="D12" i="11"/>
  <c r="L11" i="11"/>
  <c r="K11" i="11"/>
  <c r="J11" i="11"/>
  <c r="I11" i="11"/>
  <c r="H11" i="11"/>
  <c r="G11" i="11"/>
  <c r="F11" i="11"/>
  <c r="E11" i="11"/>
  <c r="D11" i="11"/>
  <c r="L9" i="11"/>
  <c r="K9" i="11"/>
  <c r="J9" i="11"/>
  <c r="I9" i="11"/>
  <c r="H9" i="11"/>
  <c r="G9" i="11"/>
  <c r="F9" i="11"/>
  <c r="E9" i="11"/>
  <c r="L8" i="11"/>
  <c r="K8" i="11"/>
  <c r="J8" i="11"/>
  <c r="I8" i="11"/>
  <c r="H8" i="11"/>
  <c r="G8" i="11"/>
  <c r="F8" i="11"/>
  <c r="E8" i="11"/>
  <c r="L7" i="11"/>
  <c r="K7" i="11"/>
  <c r="J7" i="11"/>
  <c r="I7" i="11"/>
  <c r="H7" i="11"/>
  <c r="G7" i="11"/>
  <c r="F7" i="11"/>
  <c r="E7" i="11"/>
  <c r="L6" i="11"/>
  <c r="K6" i="11"/>
  <c r="J6" i="11"/>
  <c r="I6" i="11"/>
  <c r="H6" i="11"/>
  <c r="G6" i="11"/>
  <c r="F6" i="11"/>
  <c r="E6" i="11"/>
  <c r="L5" i="11"/>
  <c r="K5" i="11"/>
  <c r="J5" i="11"/>
  <c r="I5" i="11"/>
  <c r="H5" i="11"/>
  <c r="G5" i="11"/>
  <c r="F5" i="11"/>
  <c r="E5" i="11"/>
  <c r="C41" i="11"/>
  <c r="C40" i="11"/>
  <c r="C39" i="11"/>
  <c r="L111" i="7"/>
  <c r="K111" i="7"/>
  <c r="J111" i="7"/>
  <c r="I111" i="7"/>
  <c r="H111" i="7"/>
  <c r="G111" i="7"/>
  <c r="F111" i="7"/>
  <c r="E111" i="7"/>
  <c r="D111" i="7"/>
  <c r="C111" i="7"/>
  <c r="L110" i="7"/>
  <c r="K110" i="7"/>
  <c r="J110" i="7"/>
  <c r="I110" i="7"/>
  <c r="H110" i="7"/>
  <c r="G110" i="7"/>
  <c r="F110" i="7"/>
  <c r="E110" i="7"/>
  <c r="D110" i="7"/>
  <c r="C110" i="7"/>
  <c r="L109" i="7"/>
  <c r="K109" i="7"/>
  <c r="J109" i="7"/>
  <c r="I109" i="7"/>
  <c r="H109" i="7"/>
  <c r="G109" i="7"/>
  <c r="F109" i="7"/>
  <c r="E109" i="7"/>
  <c r="D109" i="7"/>
  <c r="C109" i="7"/>
  <c r="L108" i="7"/>
  <c r="K108" i="7"/>
  <c r="J108" i="7"/>
  <c r="I108" i="7"/>
  <c r="H108" i="7"/>
  <c r="G108" i="7"/>
  <c r="F108" i="7"/>
  <c r="E108" i="7"/>
  <c r="D108" i="7"/>
  <c r="C108" i="7"/>
  <c r="C36" i="11"/>
  <c r="C35" i="11"/>
  <c r="C34" i="11"/>
  <c r="C37" i="11" s="1"/>
  <c r="C31" i="11"/>
  <c r="C30" i="11"/>
  <c r="C29" i="11"/>
  <c r="C28" i="11"/>
  <c r="C27" i="11"/>
  <c r="C26" i="11"/>
  <c r="C24" i="11"/>
  <c r="C23" i="11"/>
  <c r="C22" i="11"/>
  <c r="C21" i="11"/>
  <c r="C19" i="11"/>
  <c r="C18" i="11"/>
  <c r="C17" i="11"/>
  <c r="C15" i="11"/>
  <c r="C14" i="11"/>
  <c r="C13" i="11"/>
  <c r="C12" i="11"/>
  <c r="C11" i="11"/>
  <c r="D9" i="11"/>
  <c r="D8" i="11"/>
  <c r="D7" i="11"/>
  <c r="D6" i="11"/>
  <c r="C9" i="11"/>
  <c r="C8" i="11"/>
  <c r="C7" i="11"/>
  <c r="C5" i="11"/>
  <c r="D5" i="11"/>
  <c r="B2" i="11"/>
  <c r="L3" i="11"/>
  <c r="K3" i="11"/>
  <c r="J3" i="11"/>
  <c r="I3" i="11"/>
  <c r="H3" i="11"/>
  <c r="G3" i="11"/>
  <c r="F3" i="11"/>
  <c r="E3" i="11"/>
  <c r="D3" i="11"/>
  <c r="C3" i="11"/>
  <c r="L105" i="7"/>
  <c r="K105" i="7"/>
  <c r="J105" i="7"/>
  <c r="I105" i="7"/>
  <c r="H105" i="7"/>
  <c r="G105" i="7"/>
  <c r="F105" i="7"/>
  <c r="E105" i="7"/>
  <c r="D105" i="7"/>
  <c r="C105" i="7"/>
  <c r="L103" i="7"/>
  <c r="K103" i="7"/>
  <c r="J103" i="7"/>
  <c r="I103" i="7"/>
  <c r="H103" i="7"/>
  <c r="G103" i="7"/>
  <c r="F103" i="7"/>
  <c r="E103" i="7"/>
  <c r="D103" i="7"/>
  <c r="C103" i="7"/>
  <c r="L102" i="7"/>
  <c r="K102" i="7"/>
  <c r="J102" i="7"/>
  <c r="I102" i="7"/>
  <c r="H102" i="7"/>
  <c r="G102" i="7"/>
  <c r="F102" i="7"/>
  <c r="E102" i="7"/>
  <c r="D102" i="7"/>
  <c r="C102" i="7"/>
  <c r="L101" i="7"/>
  <c r="K101" i="7"/>
  <c r="J101" i="7"/>
  <c r="I101" i="7"/>
  <c r="H101" i="7"/>
  <c r="G101" i="7"/>
  <c r="F101" i="7"/>
  <c r="E101" i="7"/>
  <c r="D101" i="7"/>
  <c r="C101" i="7"/>
  <c r="L100" i="7"/>
  <c r="K100" i="7"/>
  <c r="J100" i="7"/>
  <c r="I100" i="7"/>
  <c r="H100" i="7"/>
  <c r="G100" i="7"/>
  <c r="F100" i="7"/>
  <c r="E100" i="7"/>
  <c r="D100" i="7"/>
  <c r="C100" i="7"/>
  <c r="L99" i="7"/>
  <c r="K99" i="7"/>
  <c r="J99" i="7"/>
  <c r="I99" i="7"/>
  <c r="H99" i="7"/>
  <c r="G99" i="7"/>
  <c r="F99" i="7"/>
  <c r="E99" i="7"/>
  <c r="D99" i="7"/>
  <c r="C99" i="7"/>
  <c r="L98" i="7"/>
  <c r="K98" i="7"/>
  <c r="J98" i="7"/>
  <c r="I98" i="7"/>
  <c r="H98" i="7"/>
  <c r="G98" i="7"/>
  <c r="F98" i="7"/>
  <c r="E98" i="7"/>
  <c r="D98" i="7"/>
  <c r="C98" i="7"/>
  <c r="L97" i="7"/>
  <c r="K97" i="7"/>
  <c r="J97" i="7"/>
  <c r="I97" i="7"/>
  <c r="H97" i="7"/>
  <c r="G97" i="7"/>
  <c r="F97" i="7"/>
  <c r="E97" i="7"/>
  <c r="D97" i="7"/>
  <c r="C97" i="7"/>
  <c r="L96" i="7"/>
  <c r="K96" i="7"/>
  <c r="J96" i="7"/>
  <c r="I96" i="7"/>
  <c r="H96" i="7"/>
  <c r="G96" i="7"/>
  <c r="F96" i="7"/>
  <c r="E96" i="7"/>
  <c r="D96" i="7"/>
  <c r="C96" i="7"/>
  <c r="L89" i="7"/>
  <c r="K89" i="7"/>
  <c r="J89" i="7"/>
  <c r="I89" i="7"/>
  <c r="H89" i="7"/>
  <c r="G89" i="7"/>
  <c r="F89" i="7"/>
  <c r="E89" i="7"/>
  <c r="D89" i="7"/>
  <c r="C89" i="7"/>
  <c r="L88" i="7"/>
  <c r="K88" i="7"/>
  <c r="J88" i="7"/>
  <c r="I88" i="7"/>
  <c r="H88" i="7"/>
  <c r="G88" i="7"/>
  <c r="F88" i="7"/>
  <c r="E88" i="7"/>
  <c r="D88" i="7"/>
  <c r="C88" i="7"/>
  <c r="L87" i="7"/>
  <c r="K87" i="7"/>
  <c r="J87" i="7"/>
  <c r="I87" i="7"/>
  <c r="H87" i="7"/>
  <c r="G87" i="7"/>
  <c r="F87" i="7"/>
  <c r="E87" i="7"/>
  <c r="D87" i="7"/>
  <c r="C87" i="7"/>
  <c r="L86" i="7"/>
  <c r="K86" i="7"/>
  <c r="J86" i="7"/>
  <c r="I86" i="7"/>
  <c r="H86" i="7"/>
  <c r="G86" i="7"/>
  <c r="F86" i="7"/>
  <c r="E86" i="7"/>
  <c r="D86" i="7"/>
  <c r="C86" i="7"/>
  <c r="L85" i="7"/>
  <c r="K85" i="7"/>
  <c r="J85" i="7"/>
  <c r="I85" i="7"/>
  <c r="H85" i="7"/>
  <c r="G85" i="7"/>
  <c r="F85" i="7"/>
  <c r="E85" i="7"/>
  <c r="D85" i="7"/>
  <c r="C85" i="7"/>
  <c r="L84" i="7"/>
  <c r="K84" i="7"/>
  <c r="J84" i="7"/>
  <c r="I84" i="7"/>
  <c r="H84" i="7"/>
  <c r="G84" i="7"/>
  <c r="F84" i="7"/>
  <c r="E84" i="7"/>
  <c r="D84" i="7"/>
  <c r="C84" i="7"/>
  <c r="L83" i="7"/>
  <c r="K83" i="7"/>
  <c r="J83" i="7"/>
  <c r="I83" i="7"/>
  <c r="H83" i="7"/>
  <c r="G83" i="7"/>
  <c r="F83" i="7"/>
  <c r="E83" i="7"/>
  <c r="D83" i="7"/>
  <c r="C83" i="7"/>
  <c r="L82" i="7"/>
  <c r="K82" i="7"/>
  <c r="J82" i="7"/>
  <c r="I82" i="7"/>
  <c r="H82" i="7"/>
  <c r="G82" i="7"/>
  <c r="F82" i="7"/>
  <c r="E82" i="7"/>
  <c r="D82" i="7"/>
  <c r="C82" i="7"/>
  <c r="L81" i="7"/>
  <c r="K81" i="7"/>
  <c r="J81" i="7"/>
  <c r="I81" i="7"/>
  <c r="H81" i="7"/>
  <c r="G81" i="7"/>
  <c r="F81" i="7"/>
  <c r="E81" i="7"/>
  <c r="D81" i="7"/>
  <c r="C81" i="7"/>
  <c r="L92" i="7"/>
  <c r="K92" i="7"/>
  <c r="J92" i="7"/>
  <c r="I92" i="7"/>
  <c r="H92" i="7"/>
  <c r="G92" i="7"/>
  <c r="F92" i="7"/>
  <c r="E92" i="7"/>
  <c r="D92" i="7"/>
  <c r="C92" i="7"/>
  <c r="L77" i="7"/>
  <c r="K77" i="7"/>
  <c r="J77" i="7"/>
  <c r="I77" i="7"/>
  <c r="H77" i="7"/>
  <c r="G77" i="7"/>
  <c r="F77" i="7"/>
  <c r="E77" i="7"/>
  <c r="D77" i="7"/>
  <c r="C77" i="7"/>
  <c r="L76" i="7"/>
  <c r="K76" i="7"/>
  <c r="J76" i="7"/>
  <c r="I76" i="7"/>
  <c r="H76" i="7"/>
  <c r="G76" i="7"/>
  <c r="F76" i="7"/>
  <c r="E76" i="7"/>
  <c r="D76" i="7"/>
  <c r="C76" i="7"/>
  <c r="L75" i="7"/>
  <c r="K75" i="7"/>
  <c r="J75" i="7"/>
  <c r="I75" i="7"/>
  <c r="H75" i="7"/>
  <c r="G75" i="7"/>
  <c r="F75" i="7"/>
  <c r="E75" i="7"/>
  <c r="D75" i="7"/>
  <c r="C75" i="7"/>
  <c r="L73" i="7"/>
  <c r="K73" i="7"/>
  <c r="J73" i="7"/>
  <c r="I73" i="7"/>
  <c r="H73" i="7"/>
  <c r="G73" i="7"/>
  <c r="F73" i="7"/>
  <c r="E73" i="7"/>
  <c r="D73" i="7"/>
  <c r="C73" i="7"/>
  <c r="L72" i="7"/>
  <c r="K72" i="7"/>
  <c r="J72" i="7"/>
  <c r="I72" i="7"/>
  <c r="H72" i="7"/>
  <c r="G72" i="7"/>
  <c r="F72" i="7"/>
  <c r="E72" i="7"/>
  <c r="D72" i="7"/>
  <c r="C72" i="7"/>
  <c r="L71" i="7"/>
  <c r="K71" i="7"/>
  <c r="J71" i="7"/>
  <c r="I71" i="7"/>
  <c r="H71" i="7"/>
  <c r="G71" i="7"/>
  <c r="F71" i="7"/>
  <c r="E71" i="7"/>
  <c r="D71" i="7"/>
  <c r="C71" i="7"/>
  <c r="L70" i="7"/>
  <c r="K70" i="7"/>
  <c r="J70" i="7"/>
  <c r="I70" i="7"/>
  <c r="H70" i="7"/>
  <c r="G70" i="7"/>
  <c r="F70" i="7"/>
  <c r="E70" i="7"/>
  <c r="D70" i="7"/>
  <c r="C70" i="7"/>
  <c r="L56" i="7"/>
  <c r="K56" i="7"/>
  <c r="J56" i="7"/>
  <c r="I56" i="7"/>
  <c r="H56" i="7"/>
  <c r="G56" i="7"/>
  <c r="F56" i="7"/>
  <c r="E56" i="7"/>
  <c r="D56" i="7"/>
  <c r="C56" i="7"/>
  <c r="L61" i="7"/>
  <c r="K61" i="7"/>
  <c r="J61" i="7"/>
  <c r="I61" i="7"/>
  <c r="H61" i="7"/>
  <c r="G61" i="7"/>
  <c r="F61" i="7"/>
  <c r="E61" i="7"/>
  <c r="D61" i="7"/>
  <c r="C61" i="7"/>
  <c r="L60" i="7"/>
  <c r="K60" i="7"/>
  <c r="J60" i="7"/>
  <c r="I60" i="7"/>
  <c r="H60" i="7"/>
  <c r="G60" i="7"/>
  <c r="F60" i="7"/>
  <c r="E60" i="7"/>
  <c r="D60" i="7"/>
  <c r="C60" i="7"/>
  <c r="L59" i="7"/>
  <c r="K59" i="7"/>
  <c r="J59" i="7"/>
  <c r="I59" i="7"/>
  <c r="H59" i="7"/>
  <c r="G59" i="7"/>
  <c r="F59" i="7"/>
  <c r="E59" i="7"/>
  <c r="D59" i="7"/>
  <c r="C59" i="7"/>
  <c r="L55" i="7"/>
  <c r="K55" i="7"/>
  <c r="J55" i="7"/>
  <c r="I55" i="7"/>
  <c r="H55" i="7"/>
  <c r="G55" i="7"/>
  <c r="F55" i="7"/>
  <c r="E55" i="7"/>
  <c r="D55" i="7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C55" i="7"/>
  <c r="C54" i="7"/>
  <c r="C53" i="7"/>
  <c r="L50" i="7"/>
  <c r="K50" i="7"/>
  <c r="J50" i="7"/>
  <c r="I50" i="7"/>
  <c r="H50" i="7"/>
  <c r="G50" i="7"/>
  <c r="F50" i="7"/>
  <c r="E50" i="7"/>
  <c r="D50" i="7"/>
  <c r="C50" i="7"/>
  <c r="L49" i="7"/>
  <c r="K49" i="7"/>
  <c r="J49" i="7"/>
  <c r="I49" i="7"/>
  <c r="H49" i="7"/>
  <c r="G49" i="7"/>
  <c r="F49" i="7"/>
  <c r="E49" i="7"/>
  <c r="D49" i="7"/>
  <c r="C49" i="7"/>
  <c r="L48" i="7"/>
  <c r="K48" i="7"/>
  <c r="J48" i="7"/>
  <c r="I48" i="7"/>
  <c r="H48" i="7"/>
  <c r="G48" i="7"/>
  <c r="F48" i="7"/>
  <c r="E48" i="7"/>
  <c r="D48" i="7"/>
  <c r="C48" i="7"/>
  <c r="L47" i="7"/>
  <c r="K47" i="7"/>
  <c r="J47" i="7"/>
  <c r="I47" i="7"/>
  <c r="H47" i="7"/>
  <c r="G47" i="7"/>
  <c r="F47" i="7"/>
  <c r="E47" i="7"/>
  <c r="D47" i="7"/>
  <c r="C47" i="7"/>
  <c r="L36" i="7"/>
  <c r="L41" i="7" s="1"/>
  <c r="K36" i="7"/>
  <c r="K41" i="7" s="1"/>
  <c r="J36" i="7"/>
  <c r="J41" i="7" s="1"/>
  <c r="I36" i="7"/>
  <c r="I41" i="7" s="1"/>
  <c r="H36" i="7"/>
  <c r="H41" i="7" s="1"/>
  <c r="G36" i="7"/>
  <c r="G41" i="7" s="1"/>
  <c r="F36" i="7"/>
  <c r="F41" i="7" s="1"/>
  <c r="E36" i="7"/>
  <c r="E41" i="7" s="1"/>
  <c r="D36" i="7"/>
  <c r="D41" i="7" s="1"/>
  <c r="C36" i="7"/>
  <c r="C41" i="7" s="1"/>
  <c r="L30" i="7"/>
  <c r="K30" i="7"/>
  <c r="J30" i="7"/>
  <c r="I30" i="7"/>
  <c r="H30" i="7"/>
  <c r="G30" i="7"/>
  <c r="F30" i="7"/>
  <c r="E30" i="7"/>
  <c r="D30" i="7"/>
  <c r="C30" i="7"/>
  <c r="L24" i="7"/>
  <c r="K24" i="7"/>
  <c r="J24" i="7"/>
  <c r="I24" i="7"/>
  <c r="H24" i="7"/>
  <c r="G24" i="7"/>
  <c r="F24" i="7"/>
  <c r="E24" i="7"/>
  <c r="D24" i="7"/>
  <c r="C24" i="7"/>
  <c r="L21" i="7"/>
  <c r="K21" i="7"/>
  <c r="J21" i="7"/>
  <c r="I21" i="7"/>
  <c r="H21" i="7"/>
  <c r="G21" i="7"/>
  <c r="F21" i="7"/>
  <c r="E21" i="7"/>
  <c r="D21" i="7"/>
  <c r="C21" i="7"/>
  <c r="L15" i="7"/>
  <c r="K15" i="7"/>
  <c r="J15" i="7"/>
  <c r="I15" i="7"/>
  <c r="H15" i="7"/>
  <c r="G15" i="7"/>
  <c r="F15" i="7"/>
  <c r="E15" i="7"/>
  <c r="D15" i="7"/>
  <c r="C15" i="7"/>
  <c r="L9" i="7"/>
  <c r="K9" i="7"/>
  <c r="J9" i="7"/>
  <c r="I9" i="7"/>
  <c r="H9" i="7"/>
  <c r="G9" i="7"/>
  <c r="F9" i="7"/>
  <c r="E9" i="7"/>
  <c r="D9" i="7"/>
  <c r="C9" i="7"/>
  <c r="L6" i="7"/>
  <c r="K6" i="7"/>
  <c r="J6" i="7"/>
  <c r="I6" i="7"/>
  <c r="H6" i="7"/>
  <c r="G6" i="7"/>
  <c r="F6" i="7"/>
  <c r="E6" i="7"/>
  <c r="D6" i="7"/>
  <c r="C6" i="7"/>
  <c r="L3" i="7"/>
  <c r="K3" i="7"/>
  <c r="J3" i="7"/>
  <c r="I3" i="7"/>
  <c r="H3" i="7"/>
  <c r="G3" i="7"/>
  <c r="F3" i="7"/>
  <c r="E3" i="7"/>
  <c r="D3" i="7"/>
  <c r="C3" i="7"/>
  <c r="B2" i="7"/>
  <c r="K37" i="11" l="1"/>
  <c r="I37" i="11"/>
  <c r="E37" i="11"/>
  <c r="G37" i="11"/>
  <c r="I51" i="7"/>
  <c r="C62" i="7"/>
  <c r="K62" i="7"/>
  <c r="E7" i="7"/>
  <c r="K93" i="7"/>
  <c r="D22" i="7"/>
  <c r="D51" i="7"/>
  <c r="J57" i="7"/>
  <c r="F62" i="7"/>
  <c r="H93" i="7"/>
  <c r="C93" i="7"/>
  <c r="L22" i="7"/>
  <c r="L51" i="7"/>
  <c r="C12" i="7"/>
  <c r="C18" i="7" s="1"/>
  <c r="E22" i="7"/>
  <c r="F7" i="7"/>
  <c r="D10" i="7"/>
  <c r="D93" i="7"/>
  <c r="L93" i="7"/>
  <c r="H7" i="7"/>
  <c r="E62" i="7"/>
  <c r="J62" i="7"/>
  <c r="I7" i="7"/>
  <c r="G10" i="7"/>
  <c r="F93" i="7"/>
  <c r="C51" i="7"/>
  <c r="K51" i="7"/>
  <c r="G93" i="7"/>
  <c r="E93" i="7"/>
  <c r="C25" i="7"/>
  <c r="K25" i="7"/>
  <c r="H57" i="7"/>
  <c r="H10" i="7"/>
  <c r="D7" i="7"/>
  <c r="L7" i="7"/>
  <c r="E51" i="7"/>
  <c r="G62" i="7"/>
  <c r="I93" i="7"/>
  <c r="F16" i="7"/>
  <c r="C10" i="7"/>
  <c r="I16" i="7"/>
  <c r="D57" i="7"/>
  <c r="L57" i="7"/>
  <c r="H62" i="7"/>
  <c r="J93" i="7"/>
  <c r="G51" i="7"/>
  <c r="I62" i="7"/>
  <c r="E10" i="7"/>
  <c r="F57" i="7"/>
  <c r="F64" i="7" s="1"/>
  <c r="K7" i="7"/>
  <c r="I10" i="7"/>
  <c r="G16" i="7"/>
  <c r="J25" i="7"/>
  <c r="J10" i="7"/>
  <c r="H16" i="7"/>
  <c r="F22" i="7"/>
  <c r="D25" i="7"/>
  <c r="L25" i="7"/>
  <c r="F51" i="7"/>
  <c r="K10" i="7"/>
  <c r="G22" i="7"/>
  <c r="E25" i="7"/>
  <c r="L10" i="7"/>
  <c r="J16" i="7"/>
  <c r="H22" i="7"/>
  <c r="F25" i="7"/>
  <c r="H51" i="7"/>
  <c r="K78" i="7"/>
  <c r="J7" i="7"/>
  <c r="G12" i="7"/>
  <c r="G13" i="7" s="1"/>
  <c r="C16" i="7"/>
  <c r="K16" i="7"/>
  <c r="I22" i="7"/>
  <c r="G25" i="7"/>
  <c r="G7" i="7"/>
  <c r="G57" i="7"/>
  <c r="F10" i="7"/>
  <c r="D16" i="7"/>
  <c r="L16" i="7"/>
  <c r="J22" i="7"/>
  <c r="H25" i="7"/>
  <c r="J51" i="7"/>
  <c r="D62" i="7"/>
  <c r="L62" i="7"/>
  <c r="E16" i="7"/>
  <c r="C22" i="7"/>
  <c r="K22" i="7"/>
  <c r="I25" i="7"/>
  <c r="C78" i="7"/>
  <c r="D78" i="7"/>
  <c r="L78" i="7"/>
  <c r="E78" i="7"/>
  <c r="F78" i="7"/>
  <c r="G78" i="7"/>
  <c r="H78" i="7"/>
  <c r="I78" i="7"/>
  <c r="J78" i="7"/>
  <c r="H12" i="7"/>
  <c r="H13" i="7" s="1"/>
  <c r="I12" i="7"/>
  <c r="I18" i="7" s="1"/>
  <c r="I19" i="7" s="1"/>
  <c r="J12" i="7"/>
  <c r="J13" i="7" s="1"/>
  <c r="K12" i="7"/>
  <c r="K13" i="7" s="1"/>
  <c r="I57" i="7"/>
  <c r="D12" i="7"/>
  <c r="D13" i="7" s="1"/>
  <c r="L12" i="7"/>
  <c r="L13" i="7" s="1"/>
  <c r="E12" i="7"/>
  <c r="E18" i="7" s="1"/>
  <c r="E19" i="7" s="1"/>
  <c r="C57" i="7"/>
  <c r="K57" i="7"/>
  <c r="F12" i="7"/>
  <c r="F18" i="7" s="1"/>
  <c r="F19" i="7" s="1"/>
  <c r="E57" i="7"/>
  <c r="J64" i="7" l="1"/>
  <c r="J66" i="7" s="1"/>
  <c r="C64" i="7"/>
  <c r="C66" i="7" s="1"/>
  <c r="K64" i="7"/>
  <c r="K66" i="7" s="1"/>
  <c r="D64" i="7"/>
  <c r="D66" i="7" s="1"/>
  <c r="C19" i="7"/>
  <c r="C27" i="7"/>
  <c r="C28" i="7" s="1"/>
  <c r="C13" i="7"/>
  <c r="I27" i="7"/>
  <c r="I28" i="7" s="1"/>
  <c r="H18" i="7"/>
  <c r="H19" i="7" s="1"/>
  <c r="I64" i="7"/>
  <c r="I66" i="7" s="1"/>
  <c r="I13" i="7"/>
  <c r="F66" i="7"/>
  <c r="E64" i="7"/>
  <c r="E66" i="7" s="1"/>
  <c r="E13" i="7"/>
  <c r="H64" i="7"/>
  <c r="H66" i="7" s="1"/>
  <c r="K18" i="7"/>
  <c r="K19" i="7" s="1"/>
  <c r="F27" i="7"/>
  <c r="F28" i="7" s="1"/>
  <c r="L64" i="7"/>
  <c r="L66" i="7" s="1"/>
  <c r="G64" i="7"/>
  <c r="G66" i="7" s="1"/>
  <c r="L18" i="7"/>
  <c r="L19" i="7" s="1"/>
  <c r="G18" i="7"/>
  <c r="G27" i="7" s="1"/>
  <c r="G33" i="7" s="1"/>
  <c r="E27" i="7"/>
  <c r="D18" i="7"/>
  <c r="D19" i="7" s="1"/>
  <c r="F13" i="7"/>
  <c r="J18" i="7"/>
  <c r="K27" i="7" l="1"/>
  <c r="K31" i="7" s="1"/>
  <c r="I31" i="7"/>
  <c r="C31" i="7"/>
  <c r="C33" i="7"/>
  <c r="C38" i="7" s="1"/>
  <c r="H27" i="7"/>
  <c r="H31" i="7" s="1"/>
  <c r="F33" i="7"/>
  <c r="F34" i="7" s="1"/>
  <c r="I33" i="7"/>
  <c r="I38" i="7" s="1"/>
  <c r="F31" i="7"/>
  <c r="G19" i="7"/>
  <c r="E28" i="7"/>
  <c r="E31" i="7"/>
  <c r="E33" i="7"/>
  <c r="E38" i="7" s="1"/>
  <c r="L27" i="7"/>
  <c r="L33" i="7" s="1"/>
  <c r="G38" i="7"/>
  <c r="G34" i="7"/>
  <c r="D27" i="7"/>
  <c r="D33" i="7" s="1"/>
  <c r="G28" i="7"/>
  <c r="G31" i="7"/>
  <c r="J27" i="7"/>
  <c r="J19" i="7"/>
  <c r="K33" i="7" l="1"/>
  <c r="K34" i="7" s="1"/>
  <c r="K28" i="7"/>
  <c r="I34" i="7"/>
  <c r="C34" i="7"/>
  <c r="H33" i="7"/>
  <c r="H34" i="7" s="1"/>
  <c r="L28" i="7"/>
  <c r="H28" i="7"/>
  <c r="F38" i="7"/>
  <c r="F39" i="7" s="1"/>
  <c r="E34" i="7"/>
  <c r="L31" i="7"/>
  <c r="D28" i="7"/>
  <c r="D31" i="7"/>
  <c r="J28" i="7"/>
  <c r="J31" i="7"/>
  <c r="J33" i="7"/>
  <c r="L34" i="7"/>
  <c r="L38" i="7"/>
  <c r="E42" i="7"/>
  <c r="E44" i="7" s="1"/>
  <c r="I42" i="7"/>
  <c r="I44" i="7" s="1"/>
  <c r="C42" i="7"/>
  <c r="C44" i="7" s="1"/>
  <c r="D38" i="7"/>
  <c r="D34" i="7"/>
  <c r="G42" i="7"/>
  <c r="G44" i="7" s="1"/>
  <c r="B6" i="6"/>
  <c r="E1" i="6"/>
  <c r="K38" i="7" l="1"/>
  <c r="L39" i="7" s="1"/>
  <c r="G39" i="7"/>
  <c r="F42" i="7"/>
  <c r="F44" i="7" s="1"/>
  <c r="H38" i="7"/>
  <c r="I39" i="7" s="1"/>
  <c r="J38" i="7"/>
  <c r="J34" i="7"/>
  <c r="D39" i="7"/>
  <c r="D42" i="7"/>
  <c r="D44" i="7" s="1"/>
  <c r="E39" i="7"/>
  <c r="L44" i="7"/>
  <c r="L42" i="7"/>
  <c r="K42" i="7" l="1"/>
  <c r="K44" i="7"/>
  <c r="H42" i="7"/>
  <c r="H44" i="7" s="1"/>
  <c r="H39" i="7"/>
  <c r="J39" i="7"/>
  <c r="J44" i="7"/>
  <c r="J42" i="7"/>
  <c r="K39" i="7"/>
</calcChain>
</file>

<file path=xl/sharedStrings.xml><?xml version="1.0" encoding="utf-8"?>
<sst xmlns="http://schemas.openxmlformats.org/spreadsheetml/2006/main" count="234" uniqueCount="156">
  <si>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</si>
  <si>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</si>
  <si>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</si>
  <si>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</si>
  <si>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</si>
  <si>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</si>
  <si>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</si>
  <si>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</si>
  <si>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</si>
  <si>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</si>
  <si>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</si>
  <si>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</si>
  <si>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</si>
  <si>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</si>
  <si>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</si>
  <si>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</si>
  <si>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</si>
  <si>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</si>
  <si>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</si>
  <si>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</si>
  <si>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</si>
  <si>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</si>
  <si>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</si>
  <si>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</si>
  <si>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</si>
  <si>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</si>
  <si>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</si>
  <si>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</si>
  <si>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</si>
  <si>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</si>
  <si>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</si>
  <si>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</si>
  <si>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ITC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</si>
  <si>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</si>
  <si>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</si>
  <si>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</si>
  <si>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</si>
  <si>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</si>
  <si>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</si>
  <si>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</si>
  <si>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</si>
  <si>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</si>
  <si>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</si>
  <si>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</si>
  <si>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</si>
  <si>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</si>
  <si>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</si>
  <si>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</si>
  <si>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</si>
  <si>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</si>
  <si>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</si>
  <si>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</si>
  <si>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</si>
  <si>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</si>
  <si>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</si>
  <si>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#</t>
  </si>
  <si>
    <t>Income Statement</t>
  </si>
  <si>
    <t>COGS</t>
  </si>
  <si>
    <t>COGS as % of Sales</t>
  </si>
  <si>
    <t>Gross Profit</t>
  </si>
  <si>
    <t>Gross Profit as % of Sales</t>
  </si>
  <si>
    <t>Selling &amp; General Expense</t>
  </si>
  <si>
    <t>S&amp;G as % of Sales</t>
  </si>
  <si>
    <t>EBITDA</t>
  </si>
  <si>
    <t>EBITDA Margin</t>
  </si>
  <si>
    <t>Interest as % of Sales</t>
  </si>
  <si>
    <t>Depreciation as % of Sales</t>
  </si>
  <si>
    <t>Earnings Before Tax</t>
  </si>
  <si>
    <t>EBT as % of Sales</t>
  </si>
  <si>
    <t>Efffective Tax Rate</t>
  </si>
  <si>
    <t>Net Profit</t>
  </si>
  <si>
    <t>Net Profit Margin</t>
  </si>
  <si>
    <t>NA</t>
  </si>
  <si>
    <t>No of Equity Shares</t>
  </si>
  <si>
    <t>Earnings Per Share</t>
  </si>
  <si>
    <t>EPS Growth Rate</t>
  </si>
  <si>
    <t>Dividend Per Share</t>
  </si>
  <si>
    <t>Dividend Payout Ratio</t>
  </si>
  <si>
    <t>Retained Earnings</t>
  </si>
  <si>
    <t>Balance Sheet</t>
  </si>
  <si>
    <t>Total Assets</t>
  </si>
  <si>
    <t>Total Non Current Assets</t>
  </si>
  <si>
    <t>Total Liabilities</t>
  </si>
  <si>
    <t>Total Current Assets</t>
  </si>
  <si>
    <t>Fiexed Assets Net Block</t>
  </si>
  <si>
    <t>Bal Check</t>
  </si>
  <si>
    <t>Cash Flow Statement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</si>
  <si>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</si>
  <si>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</si>
  <si>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</si>
  <si>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</si>
  <si>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</si>
  <si>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</si>
  <si>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</si>
  <si>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</si>
  <si>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</si>
  <si>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</si>
  <si>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</si>
  <si>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</si>
  <si>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</si>
  <si>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</si>
  <si>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</si>
  <si>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</si>
  <si>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</si>
  <si>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</si>
  <si>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</si>
  <si>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</si>
  <si>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</si>
  <si>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</si>
  <si>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</si>
  <si>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</si>
  <si>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</si>
  <si>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</si>
  <si>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</si>
  <si>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</si>
  <si>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Activities</t>
  </si>
  <si>
    <t>Operating Activities</t>
  </si>
  <si>
    <t>Cash from Investing Activities</t>
  </si>
  <si>
    <t>Investing Activities</t>
  </si>
  <si>
    <t>Financing Activities</t>
  </si>
  <si>
    <t>Cash from Financing Activities</t>
  </si>
  <si>
    <t>Trend</t>
  </si>
  <si>
    <t>Mean</t>
  </si>
  <si>
    <t>Median</t>
  </si>
  <si>
    <t>EBITDA Growth</t>
  </si>
  <si>
    <t>EBT Growth</t>
  </si>
  <si>
    <t>Net Profit Growth</t>
  </si>
  <si>
    <t>Dividend Growth</t>
  </si>
  <si>
    <t>Gross Margin</t>
  </si>
  <si>
    <t>EBIT Margin</t>
  </si>
  <si>
    <t>EBT Margin</t>
  </si>
  <si>
    <t>Selling Exp as % of Sales</t>
  </si>
  <si>
    <t>Operating Exp as % of Sales</t>
  </si>
  <si>
    <t>Return on Capital Employed</t>
  </si>
  <si>
    <t>Retained Earnings in %</t>
  </si>
  <si>
    <t>Return On Equity</t>
  </si>
  <si>
    <t>Self Sustained Growth Rat</t>
  </si>
  <si>
    <t>Interest Coverage Ratio</t>
  </si>
  <si>
    <t>Debtor Turnover Ratio</t>
  </si>
  <si>
    <t>Creditor Turnover Ratio</t>
  </si>
  <si>
    <t>Inventory Turnover Ratio</t>
  </si>
  <si>
    <t>Fixed Asset Turnover Ratio</t>
  </si>
  <si>
    <t>Capital Turnover Ratio</t>
  </si>
  <si>
    <t>(In Days)</t>
  </si>
  <si>
    <t>Debtor Days</t>
  </si>
  <si>
    <t>Payable Days</t>
  </si>
  <si>
    <t>Inventory Days</t>
  </si>
  <si>
    <t>Cash Conversion Cycle (in Days)</t>
  </si>
  <si>
    <t>CFO/Sales</t>
  </si>
  <si>
    <t>CFO/ Total Assets</t>
  </si>
  <si>
    <t>CFO/ Total Debt (Borrowing)</t>
  </si>
  <si>
    <t>Short Cash Flow</t>
  </si>
  <si>
    <t>Weight</t>
  </si>
  <si>
    <t>Year</t>
  </si>
  <si>
    <t>EPS Growth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</si>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</sst>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₹&quot;\ #,##0.00;[Red]&quot;₹&quot;\ \-#,##0.00"/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[Red]&quot;₹&quot;\ \-#,##0.0"/>
    <numFmt numFmtId="167" formatCode="&quot;₹&quot;\ #,##0.0;&quot;₹&quot;\ \(#,##0.0\)"/>
    <numFmt numFmtId="168" formatCode="&quot;₹&quot;\ #,##0.00"/>
    <numFmt numFmtId="169" formatCode="0.00\x"/>
    <numFmt numFmtId="170" formatCode="0\ "/>
    <numFmt numFmtId="171" formatCode="yyyy&quot;A&quot;"/>
    <numFmt numFmtId="172" formatCode="yyyy&quot;E&quot;"/>
    <numFmt numFmtId="174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3" tint="0.39994506668294322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167" fontId="3" fillId="0" borderId="0">
      <alignment horizontal="right"/>
    </xf>
    <xf numFmtId="9" fontId="3" fillId="0" borderId="0" applyFont="0" applyFill="0" applyBorder="0" applyAlignment="0" applyProtection="0"/>
  </cellStyleXfs>
  <cellXfs count="86">
    <xf numFmtId="0" fontId="0" fillId="0" borderId="0" xfId="0"/>
    <xf numFmtId="43" fontId="1" fillId="0" borderId="0" xfId="1" applyFont="1" applyBorder="1"/>
    <xf numFmtId="0" fontId="1" fillId="0" borderId="0" xfId="0" applyFont="1"/>
    <xf numFmtId="43" fontId="0" fillId="0" borderId="0" xfId="1" applyFont="1" applyBorder="1"/>
    <xf numFmtId="43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0" fontId="0" fillId="0" borderId="0" xfId="0" applyAlignment="1">
      <alignment horizontal="left"/>
    </xf>
    <xf numFmtId="164" fontId="0" fillId="0" borderId="0" xfId="1" applyNumberFormat="1" applyFont="1" applyBorder="1"/>
    <xf numFmtId="17" fontId="0" fillId="0" borderId="0" xfId="0" applyNumberFormat="1"/>
    <xf numFmtId="0" fontId="5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 applyAlignment="1">
      <alignment horizontal="left"/>
    </xf>
    <xf numFmtId="17" fontId="5" fillId="4" borderId="0" xfId="0" applyNumberFormat="1" applyFont="1" applyFill="1" applyAlignment="1">
      <alignment horizontal="right"/>
    </xf>
    <xf numFmtId="0" fontId="0" fillId="0" borderId="0" xfId="0" applyAlignment="1">
      <alignment horizontal="right" wrapText="1"/>
    </xf>
    <xf numFmtId="0" fontId="2" fillId="5" borderId="0" xfId="0" applyFont="1" applyFill="1" applyAlignment="1">
      <alignment horizontal="right"/>
    </xf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7" fillId="0" borderId="0" xfId="0" applyFont="1" applyAlignment="1">
      <alignment horizontal="left"/>
    </xf>
    <xf numFmtId="9" fontId="7" fillId="0" borderId="0" xfId="0" applyNumberFormat="1" applyFont="1" applyAlignment="1">
      <alignment horizontal="right"/>
    </xf>
    <xf numFmtId="10" fontId="7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167" fontId="3" fillId="0" borderId="0" xfId="4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3" fontId="0" fillId="0" borderId="0" xfId="0" applyNumberFormat="1"/>
    <xf numFmtId="3" fontId="1" fillId="0" borderId="0" xfId="0" applyNumberFormat="1" applyFont="1"/>
    <xf numFmtId="167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166" fontId="1" fillId="0" borderId="1" xfId="0" applyNumberFormat="1" applyFont="1" applyBorder="1" applyAlignment="1">
      <alignment horizontal="right"/>
    </xf>
    <xf numFmtId="167" fontId="1" fillId="0" borderId="1" xfId="0" applyNumberFormat="1" applyFont="1" applyBorder="1" applyAlignment="1">
      <alignment horizontal="right"/>
    </xf>
    <xf numFmtId="0" fontId="0" fillId="0" borderId="2" xfId="0" applyBorder="1" applyAlignment="1">
      <alignment horizontal="left"/>
    </xf>
    <xf numFmtId="9" fontId="0" fillId="0" borderId="2" xfId="0" applyNumberFormat="1" applyBorder="1" applyAlignment="1">
      <alignment horizontal="right"/>
    </xf>
    <xf numFmtId="43" fontId="1" fillId="0" borderId="1" xfId="1" applyFont="1" applyBorder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167" fontId="1" fillId="0" borderId="2" xfId="0" applyNumberFormat="1" applyFont="1" applyBorder="1" applyAlignment="1">
      <alignment horizontal="right"/>
    </xf>
    <xf numFmtId="17" fontId="5" fillId="4" borderId="0" xfId="0" applyNumberFormat="1" applyFont="1" applyFill="1" applyAlignment="1">
      <alignment horizontal="center"/>
    </xf>
    <xf numFmtId="17" fontId="5" fillId="4" borderId="0" xfId="0" applyNumberFormat="1" applyFont="1" applyFill="1"/>
    <xf numFmtId="0" fontId="9" fillId="0" borderId="0" xfId="0" applyFont="1" applyAlignment="1">
      <alignment horizontal="left"/>
    </xf>
    <xf numFmtId="0" fontId="0" fillId="0" borderId="0" xfId="0" applyAlignment="1">
      <alignment horizontal="left" wrapText="1"/>
    </xf>
    <xf numFmtId="10" fontId="0" fillId="0" borderId="0" xfId="5" applyNumberFormat="1" applyFont="1" applyAlignment="1"/>
    <xf numFmtId="169" fontId="0" fillId="0" borderId="3" xfId="0" applyNumberFormat="1" applyBorder="1"/>
    <xf numFmtId="169" fontId="0" fillId="0" borderId="0" xfId="0" applyNumberFormat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right"/>
    </xf>
    <xf numFmtId="10" fontId="0" fillId="0" borderId="4" xfId="5" applyNumberFormat="1" applyFont="1" applyBorder="1" applyAlignment="1"/>
    <xf numFmtId="0" fontId="0" fillId="0" borderId="4" xfId="0" applyBorder="1"/>
    <xf numFmtId="10" fontId="0" fillId="0" borderId="0" xfId="5" applyNumberFormat="1" applyFont="1" applyBorder="1" applyAlignment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/>
    </xf>
    <xf numFmtId="10" fontId="0" fillId="0" borderId="3" xfId="5" applyNumberFormat="1" applyFont="1" applyBorder="1" applyAlignment="1"/>
    <xf numFmtId="0" fontId="0" fillId="0" borderId="3" xfId="0" applyBorder="1"/>
    <xf numFmtId="10" fontId="0" fillId="0" borderId="4" xfId="5" applyNumberFormat="1" applyFont="1" applyBorder="1" applyAlignment="1">
      <alignment horizontal="right"/>
    </xf>
    <xf numFmtId="10" fontId="0" fillId="0" borderId="0" xfId="5" applyNumberFormat="1" applyFont="1" applyBorder="1" applyAlignment="1">
      <alignment horizontal="right"/>
    </xf>
    <xf numFmtId="10" fontId="0" fillId="0" borderId="3" xfId="5" applyNumberFormat="1" applyFont="1" applyBorder="1" applyAlignment="1">
      <alignment horizontal="right"/>
    </xf>
    <xf numFmtId="10" fontId="0" fillId="0" borderId="3" xfId="0" applyNumberFormat="1" applyBorder="1" applyAlignment="1">
      <alignment horizontal="right"/>
    </xf>
    <xf numFmtId="10" fontId="0" fillId="0" borderId="4" xfId="0" applyNumberFormat="1" applyBorder="1" applyAlignment="1">
      <alignment horizontal="right"/>
    </xf>
    <xf numFmtId="10" fontId="0" fillId="0" borderId="0" xfId="0" applyNumberFormat="1" applyAlignment="1">
      <alignment horizontal="right"/>
    </xf>
    <xf numFmtId="169" fontId="0" fillId="0" borderId="4" xfId="0" applyNumberFormat="1" applyBorder="1"/>
    <xf numFmtId="169" fontId="0" fillId="0" borderId="0" xfId="0" applyNumberFormat="1" applyAlignment="1">
      <alignment horizontal="right"/>
    </xf>
    <xf numFmtId="169" fontId="0" fillId="0" borderId="3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70" fontId="0" fillId="0" borderId="4" xfId="0" applyNumberFormat="1" applyBorder="1" applyAlignment="1">
      <alignment horizontal="right"/>
    </xf>
    <xf numFmtId="170" fontId="0" fillId="0" borderId="3" xfId="0" applyNumberFormat="1" applyBorder="1" applyAlignment="1">
      <alignment horizontal="right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  <xf numFmtId="172" fontId="0" fillId="0" borderId="0" xfId="0" applyNumberFormat="1" applyAlignment="1">
      <alignment horizontal="right"/>
    </xf>
    <xf numFmtId="10" fontId="0" fillId="0" borderId="0" xfId="5" applyNumberFormat="1" applyFont="1" applyAlignment="1">
      <alignment horizontal="right"/>
    </xf>
    <xf numFmtId="171" fontId="6" fillId="0" borderId="0" xfId="0" applyNumberFormat="1" applyFont="1" applyAlignment="1">
      <alignment horizontal="right"/>
    </xf>
    <xf numFmtId="174" fontId="10" fillId="0" borderId="0" xfId="0" applyNumberFormat="1" applyFont="1" applyAlignment="1">
      <alignment horizontal="right"/>
    </xf>
    <xf numFmtId="2" fontId="10" fillId="0" borderId="0" xfId="0" applyNumberFormat="1" applyFont="1"/>
    <xf numFmtId="0" fontId="0" fillId="6" borderId="0" xfId="0" applyFill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7" borderId="0" xfId="0" applyFill="1" applyAlignment="1">
      <alignment horizontal="left"/>
    </xf>
    <xf numFmtId="172" fontId="6" fillId="7" borderId="0" xfId="0" applyNumberFormat="1" applyFont="1" applyFill="1" applyAlignment="1">
      <alignment horizontal="right"/>
    </xf>
    <xf numFmtId="174" fontId="6" fillId="7" borderId="0" xfId="0" applyNumberFormat="1" applyFont="1" applyFill="1" applyAlignment="1">
      <alignment horizontal="right"/>
    </xf>
    <xf numFmtId="10" fontId="0" fillId="7" borderId="0" xfId="5" applyNumberFormat="1" applyFont="1" applyFill="1" applyAlignment="1">
      <alignment horizontal="right"/>
    </xf>
    <xf numFmtId="2" fontId="0" fillId="7" borderId="0" xfId="0" applyNumberFormat="1" applyFill="1"/>
  </cellXfs>
  <cellStyles count="6">
    <cellStyle name="Accent6" xfId="3" builtinId="49"/>
    <cellStyle name="Comma" xfId="1" builtinId="3"/>
    <cellStyle name="Hyperlink" xfId="2" builtinId="8"/>
    <cellStyle name="Negative Number" xfId="4" xr:uid="{2F1F85C9-C3DA-4531-90FA-608711A58DBD}"/>
    <cellStyle name="Normal" xfId="0" builtinId="0"/>
    <cellStyle name="Percent" xfId="5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000FF"/>
      <color rgb="FF003366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BD10-F054-4537-BE6D-DDDDB583A8FF}">
  <sheetPr>
    <tabColor theme="2" tint="-0.499984740745262"/>
  </sheetPr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E5D8-BC2D-4F92-A927-FB62C21A98EF}">
  <sheetPr>
    <tabColor rgb="FFFFC000"/>
  </sheetPr>
  <dimension ref="A1:N111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4.4" x14ac:dyDescent="0.3"/>
  <cols>
    <col min="1" max="1" width="1.88671875" customWidth="1"/>
    <col min="2" max="2" width="30.33203125" style="8" customWidth="1"/>
    <col min="3" max="12" width="14" style="17" customWidth="1"/>
  </cols>
  <sheetData>
    <row r="1" spans="1:12" x14ac:dyDescent="0.3">
      <c r="B1"/>
      <c r="C1"/>
      <c r="D1"/>
      <c r="E1"/>
      <c r="F1"/>
      <c r="G1"/>
      <c r="H1"/>
      <c r="I1"/>
      <c r="J1"/>
      <c r="K1"/>
      <c r="L1"/>
    </row>
    <row r="2" spans="1:12" x14ac:dyDescent="0.3">
      <c r="B2" s="69" t="str">
        <f>"Historical Financial Statements - "&amp;'Data Sheet'!B1</f>
        <v>Historical Financial Statements - ITC LTD</v>
      </c>
      <c r="C2" s="69"/>
      <c r="D2" s="69"/>
      <c r="E2" s="69"/>
      <c r="F2" s="69"/>
      <c r="G2" s="69"/>
      <c r="H2" s="69"/>
      <c r="I2" s="69"/>
      <c r="J2" s="69"/>
      <c r="K2" s="69"/>
      <c r="L2" s="69"/>
    </row>
    <row r="3" spans="1:12" x14ac:dyDescent="0.3">
      <c r="B3" s="11" t="s">
        <v>54</v>
      </c>
      <c r="C3" s="14">
        <f>'Data Sheet'!B16</f>
        <v>41729</v>
      </c>
      <c r="D3" s="14">
        <f>'Data Sheet'!C16</f>
        <v>42094</v>
      </c>
      <c r="E3" s="14">
        <f>'Data Sheet'!D16</f>
        <v>42460</v>
      </c>
      <c r="F3" s="14">
        <f>'Data Sheet'!E16</f>
        <v>42825</v>
      </c>
      <c r="G3" s="14">
        <f>'Data Sheet'!F16</f>
        <v>43190</v>
      </c>
      <c r="H3" s="14">
        <f>'Data Sheet'!G16</f>
        <v>43555</v>
      </c>
      <c r="I3" s="14">
        <f>'Data Sheet'!H16</f>
        <v>43921</v>
      </c>
      <c r="J3" s="14">
        <f>'Data Sheet'!I16</f>
        <v>44286</v>
      </c>
      <c r="K3" s="14">
        <f>'Data Sheet'!J16</f>
        <v>44651</v>
      </c>
      <c r="L3" s="14">
        <f>'Data Sheet'!K16</f>
        <v>45016</v>
      </c>
    </row>
    <row r="4" spans="1:12" s="12" customFormat="1" x14ac:dyDescent="0.3"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x14ac:dyDescent="0.3">
      <c r="A5" t="s">
        <v>55</v>
      </c>
      <c r="B5" s="13" t="s">
        <v>56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3">
      <c r="B6" s="8" t="s">
        <v>0</v>
      </c>
      <c r="C6" s="19">
        <f>IFERROR('Data Sheet'!B17,0)</f>
        <v>35306.43</v>
      </c>
      <c r="D6" s="19">
        <f>IFERROR('Data Sheet'!C17,0)</f>
        <v>38817.15</v>
      </c>
      <c r="E6" s="19">
        <f>IFERROR('Data Sheet'!D17,0)</f>
        <v>39192.1</v>
      </c>
      <c r="F6" s="19">
        <f>IFERROR('Data Sheet'!E17,0)</f>
        <v>42767.6</v>
      </c>
      <c r="G6" s="19">
        <f>IFERROR('Data Sheet'!F17,0)</f>
        <v>43448.94</v>
      </c>
      <c r="H6" s="19">
        <f>IFERROR('Data Sheet'!G17,0)</f>
        <v>48339.58</v>
      </c>
      <c r="I6" s="19">
        <f>IFERROR('Data Sheet'!H17,0)</f>
        <v>49387.7</v>
      </c>
      <c r="J6" s="19">
        <f>IFERROR('Data Sheet'!I17,0)</f>
        <v>49257.45</v>
      </c>
      <c r="K6" s="19">
        <f>IFERROR('Data Sheet'!J17,0)</f>
        <v>60644.54</v>
      </c>
      <c r="L6" s="19">
        <f>IFERROR('Data Sheet'!K17,0)</f>
        <v>70919.03</v>
      </c>
    </row>
    <row r="7" spans="1:12" x14ac:dyDescent="0.3">
      <c r="B7" s="20" t="s">
        <v>9</v>
      </c>
      <c r="C7" s="21" t="s">
        <v>72</v>
      </c>
      <c r="D7" s="22">
        <f>D6/C6-1</f>
        <v>9.9435711851920461E-2</v>
      </c>
      <c r="E7" s="22">
        <f t="shared" ref="E7:L7" si="0">E6/D6-1</f>
        <v>9.6593902437451806E-3</v>
      </c>
      <c r="F7" s="22">
        <f t="shared" si="0"/>
        <v>9.1230120355888067E-2</v>
      </c>
      <c r="G7" s="22">
        <f t="shared" si="0"/>
        <v>1.5931218960147486E-2</v>
      </c>
      <c r="H7" s="22">
        <f t="shared" si="0"/>
        <v>0.11256062863673999</v>
      </c>
      <c r="I7" s="22">
        <f t="shared" si="0"/>
        <v>2.1682439110972673E-2</v>
      </c>
      <c r="J7" s="22">
        <f t="shared" si="0"/>
        <v>-2.6372963308678443E-3</v>
      </c>
      <c r="K7" s="22">
        <f t="shared" si="0"/>
        <v>0.23117497962237188</v>
      </c>
      <c r="L7" s="22">
        <f t="shared" si="0"/>
        <v>0.1694215175842706</v>
      </c>
    </row>
    <row r="9" spans="1:12" x14ac:dyDescent="0.3">
      <c r="B9" s="8" t="s">
        <v>57</v>
      </c>
      <c r="C9" s="19">
        <f>IFERROR(SUM('Data Sheet'!B18,'Data Sheet'!B20:B22)-1*('Data Sheet'!B19),0)</f>
        <v>17785.060000000001</v>
      </c>
      <c r="D9" s="19">
        <f>IFERROR(SUM('Data Sheet'!C18,'Data Sheet'!C20:C22)-1*('Data Sheet'!C19),0)</f>
        <v>19688.379999999997</v>
      </c>
      <c r="E9" s="19">
        <f>IFERROR(SUM('Data Sheet'!D18,'Data Sheet'!D20:D22)-1*('Data Sheet'!D19),0)</f>
        <v>19162.939999999999</v>
      </c>
      <c r="F9" s="19">
        <f>IFERROR(SUM('Data Sheet'!E18,'Data Sheet'!E20:E22)-1*('Data Sheet'!E19),0)</f>
        <v>21949.119999999999</v>
      </c>
      <c r="G9" s="19">
        <f>IFERROR(SUM('Data Sheet'!F18,'Data Sheet'!F20:F22)-1*('Data Sheet'!F19),0)</f>
        <v>21967.5</v>
      </c>
      <c r="H9" s="19">
        <f>IFERROR(SUM('Data Sheet'!G18,'Data Sheet'!G20:G22)-1*('Data Sheet'!G19),0)</f>
        <v>24215.95</v>
      </c>
      <c r="I9" s="19">
        <f>IFERROR(SUM('Data Sheet'!H18,'Data Sheet'!H20:H22)-1*('Data Sheet'!H19),0)</f>
        <v>24330.399999999998</v>
      </c>
      <c r="J9" s="19">
        <f>IFERROR(SUM('Data Sheet'!I18,'Data Sheet'!I20:I22)-1*('Data Sheet'!I19),0)</f>
        <v>26881.51</v>
      </c>
      <c r="K9" s="19">
        <f>IFERROR(SUM('Data Sheet'!J18,'Data Sheet'!J20:J22)-1*('Data Sheet'!J19),0)</f>
        <v>34053.060000000005</v>
      </c>
      <c r="L9" s="19">
        <f>IFERROR(SUM('Data Sheet'!K18,'Data Sheet'!K20:K22)-1*('Data Sheet'!K19),0)</f>
        <v>38302.130000000005</v>
      </c>
    </row>
    <row r="10" spans="1:12" x14ac:dyDescent="0.3">
      <c r="B10" s="20" t="s">
        <v>58</v>
      </c>
      <c r="C10" s="22">
        <f>C9/C6</f>
        <v>0.50373430562081756</v>
      </c>
      <c r="D10" s="22">
        <f t="shared" ref="D10:L10" si="1">D9/D6</f>
        <v>0.50720828293679465</v>
      </c>
      <c r="E10" s="22">
        <f t="shared" si="1"/>
        <v>0.48894904840516329</v>
      </c>
      <c r="F10" s="22">
        <f t="shared" si="1"/>
        <v>0.51321841768067411</v>
      </c>
      <c r="G10" s="22">
        <f t="shared" si="1"/>
        <v>0.50559346211898382</v>
      </c>
      <c r="H10" s="22">
        <f t="shared" si="1"/>
        <v>0.50095491106873502</v>
      </c>
      <c r="I10" s="22">
        <f t="shared" si="1"/>
        <v>0.49264088021916386</v>
      </c>
      <c r="J10" s="22">
        <f t="shared" si="1"/>
        <v>0.54573490913557243</v>
      </c>
      <c r="K10" s="22">
        <f t="shared" si="1"/>
        <v>0.56151897598695621</v>
      </c>
      <c r="L10" s="22">
        <f t="shared" si="1"/>
        <v>0.54008254202010386</v>
      </c>
    </row>
    <row r="12" spans="1:12" x14ac:dyDescent="0.3">
      <c r="B12" s="32" t="s">
        <v>59</v>
      </c>
      <c r="C12" s="33">
        <f>IFERROR(C6-C9,0)</f>
        <v>17521.37</v>
      </c>
      <c r="D12" s="33">
        <f t="shared" ref="D12:L12" si="2">IFERROR(D6-D9,0)</f>
        <v>19128.770000000004</v>
      </c>
      <c r="E12" s="33">
        <f t="shared" si="2"/>
        <v>20029.16</v>
      </c>
      <c r="F12" s="33">
        <f t="shared" si="2"/>
        <v>20818.48</v>
      </c>
      <c r="G12" s="33">
        <f t="shared" si="2"/>
        <v>21481.440000000002</v>
      </c>
      <c r="H12" s="33">
        <f t="shared" si="2"/>
        <v>24123.63</v>
      </c>
      <c r="I12" s="33">
        <f t="shared" si="2"/>
        <v>25057.3</v>
      </c>
      <c r="J12" s="33">
        <f t="shared" si="2"/>
        <v>22375.94</v>
      </c>
      <c r="K12" s="33">
        <f t="shared" si="2"/>
        <v>26591.479999999996</v>
      </c>
      <c r="L12" s="33">
        <f t="shared" si="2"/>
        <v>32616.899999999994</v>
      </c>
    </row>
    <row r="13" spans="1:12" x14ac:dyDescent="0.3">
      <c r="B13" s="20" t="s">
        <v>60</v>
      </c>
      <c r="C13" s="22">
        <f>C12/C6</f>
        <v>0.49626569437918244</v>
      </c>
      <c r="D13" s="22">
        <f t="shared" ref="D13:L13" si="3">D12/D6</f>
        <v>0.4927917170632054</v>
      </c>
      <c r="E13" s="22">
        <f t="shared" si="3"/>
        <v>0.51105095159483671</v>
      </c>
      <c r="F13" s="22">
        <f t="shared" si="3"/>
        <v>0.48678158231932583</v>
      </c>
      <c r="G13" s="22">
        <f t="shared" si="3"/>
        <v>0.49440653788101624</v>
      </c>
      <c r="H13" s="22">
        <f t="shared" si="3"/>
        <v>0.49904508893126504</v>
      </c>
      <c r="I13" s="22">
        <f t="shared" si="3"/>
        <v>0.50735911978083614</v>
      </c>
      <c r="J13" s="22">
        <f t="shared" si="3"/>
        <v>0.45426509086442762</v>
      </c>
      <c r="K13" s="22">
        <f t="shared" si="3"/>
        <v>0.43848102401304379</v>
      </c>
      <c r="L13" s="22">
        <f t="shared" si="3"/>
        <v>0.45991745797989614</v>
      </c>
    </row>
    <row r="15" spans="1:12" x14ac:dyDescent="0.3">
      <c r="B15" s="8" t="s">
        <v>61</v>
      </c>
      <c r="C15" s="19">
        <f>IFERROR(SUM('Data Sheet'!B23:B24),0)</f>
        <v>4441.4699999999993</v>
      </c>
      <c r="D15" s="19">
        <f>IFERROR(SUM('Data Sheet'!C23:C24),0)</f>
        <v>4877.1499999999996</v>
      </c>
      <c r="E15" s="19">
        <f>IFERROR(SUM('Data Sheet'!D23:D24),0)</f>
        <v>5497.67</v>
      </c>
      <c r="F15" s="19">
        <f>IFERROR(SUM('Data Sheet'!E23:E24),0)</f>
        <v>5348.9699999999993</v>
      </c>
      <c r="G15" s="19">
        <f>IFERROR(SUM('Data Sheet'!F23:F24),0)</f>
        <v>4960.8500000000004</v>
      </c>
      <c r="H15" s="19">
        <f>IFERROR(SUM('Data Sheet'!G23:G24),0)</f>
        <v>5586.24</v>
      </c>
      <c r="I15" s="19">
        <f>IFERROR(SUM('Data Sheet'!H23:H24),0)</f>
        <v>5713.76</v>
      </c>
      <c r="J15" s="19">
        <f>IFERROR(SUM('Data Sheet'!I23:I24),0)</f>
        <v>5311.1600000000008</v>
      </c>
      <c r="K15" s="19">
        <f>IFERROR(SUM('Data Sheet'!J23:J24),0)</f>
        <v>5968.33</v>
      </c>
      <c r="L15" s="19">
        <f>IFERROR(SUM('Data Sheet'!K23:K24),0)</f>
        <v>6912.6399999999994</v>
      </c>
    </row>
    <row r="16" spans="1:12" x14ac:dyDescent="0.3">
      <c r="B16" s="20" t="s">
        <v>62</v>
      </c>
      <c r="C16" s="22">
        <f>C15/C6</f>
        <v>0.12579776544952292</v>
      </c>
      <c r="D16" s="22">
        <f t="shared" ref="D16:L16" si="4">D15/D6</f>
        <v>0.12564420623358488</v>
      </c>
      <c r="E16" s="22">
        <f t="shared" si="4"/>
        <v>0.14027495337070481</v>
      </c>
      <c r="F16" s="22">
        <f t="shared" si="4"/>
        <v>0.12507061420327537</v>
      </c>
      <c r="G16" s="22">
        <f t="shared" si="4"/>
        <v>0.11417654838069698</v>
      </c>
      <c r="H16" s="22">
        <f t="shared" si="4"/>
        <v>0.11556244386070379</v>
      </c>
      <c r="I16" s="22">
        <f t="shared" si="4"/>
        <v>0.11569196378855465</v>
      </c>
      <c r="J16" s="22">
        <f t="shared" si="4"/>
        <v>0.10782450167436604</v>
      </c>
      <c r="K16" s="22">
        <f t="shared" si="4"/>
        <v>9.8414960357519399E-2</v>
      </c>
      <c r="L16" s="22">
        <f t="shared" si="4"/>
        <v>9.7472286352478302E-2</v>
      </c>
    </row>
    <row r="18" spans="2:12" x14ac:dyDescent="0.3">
      <c r="B18" s="32" t="s">
        <v>63</v>
      </c>
      <c r="C18" s="33">
        <f>IFERROR(C12-C15,0)</f>
        <v>13079.9</v>
      </c>
      <c r="D18" s="33">
        <f t="shared" ref="D18:L18" si="5">IFERROR(D12-D15,0)</f>
        <v>14251.620000000004</v>
      </c>
      <c r="E18" s="33">
        <f t="shared" si="5"/>
        <v>14531.49</v>
      </c>
      <c r="F18" s="33">
        <f t="shared" si="5"/>
        <v>15469.51</v>
      </c>
      <c r="G18" s="33">
        <f t="shared" si="5"/>
        <v>16520.590000000004</v>
      </c>
      <c r="H18" s="33">
        <f t="shared" si="5"/>
        <v>18537.39</v>
      </c>
      <c r="I18" s="33">
        <f t="shared" si="5"/>
        <v>19343.54</v>
      </c>
      <c r="J18" s="33">
        <f t="shared" si="5"/>
        <v>17064.78</v>
      </c>
      <c r="K18" s="33">
        <f t="shared" si="5"/>
        <v>20623.149999999994</v>
      </c>
      <c r="L18" s="33">
        <f t="shared" si="5"/>
        <v>25704.259999999995</v>
      </c>
    </row>
    <row r="19" spans="2:12" x14ac:dyDescent="0.3">
      <c r="B19" s="20" t="s">
        <v>64</v>
      </c>
      <c r="C19" s="22">
        <f>C18/C6</f>
        <v>0.37046792892965952</v>
      </c>
      <c r="D19" s="22">
        <f t="shared" ref="D19:L19" si="6">D18/D6</f>
        <v>0.36714751082962049</v>
      </c>
      <c r="E19" s="22">
        <f t="shared" si="6"/>
        <v>0.37077599822413193</v>
      </c>
      <c r="F19" s="22">
        <f t="shared" si="6"/>
        <v>0.36171096811605047</v>
      </c>
      <c r="G19" s="22">
        <f t="shared" si="6"/>
        <v>0.38022998950031928</v>
      </c>
      <c r="H19" s="22">
        <f t="shared" si="6"/>
        <v>0.38348264507056118</v>
      </c>
      <c r="I19" s="22">
        <f t="shared" si="6"/>
        <v>0.39166715599228152</v>
      </c>
      <c r="J19" s="22">
        <f t="shared" si="6"/>
        <v>0.3464405891900616</v>
      </c>
      <c r="K19" s="22">
        <f t="shared" si="6"/>
        <v>0.34006606365552439</v>
      </c>
      <c r="L19" s="22">
        <f t="shared" si="6"/>
        <v>0.36244517162741785</v>
      </c>
    </row>
    <row r="21" spans="2:12" x14ac:dyDescent="0.3">
      <c r="B21" s="8" t="s">
        <v>5</v>
      </c>
      <c r="C21" s="19">
        <f>IFERROR('Data Sheet'!B27,0)</f>
        <v>29.17</v>
      </c>
      <c r="D21" s="19">
        <f>IFERROR('Data Sheet'!C27,0)</f>
        <v>90.96</v>
      </c>
      <c r="E21" s="19">
        <f>IFERROR('Data Sheet'!D27,0)</f>
        <v>78.13</v>
      </c>
      <c r="F21" s="19">
        <f>IFERROR('Data Sheet'!E27,0)</f>
        <v>49.03</v>
      </c>
      <c r="G21" s="19">
        <f>IFERROR('Data Sheet'!F27,0)</f>
        <v>115.01</v>
      </c>
      <c r="H21" s="19">
        <f>IFERROR('Data Sheet'!G27,0)</f>
        <v>71.400000000000006</v>
      </c>
      <c r="I21" s="19">
        <f>IFERROR('Data Sheet'!H27,0)</f>
        <v>81.38</v>
      </c>
      <c r="J21" s="19">
        <f>IFERROR('Data Sheet'!I27,0)</f>
        <v>57.97</v>
      </c>
      <c r="K21" s="19">
        <f>IFERROR('Data Sheet'!J27,0)</f>
        <v>59.99</v>
      </c>
      <c r="L21" s="19">
        <f>IFERROR('Data Sheet'!K27,0)</f>
        <v>77.77</v>
      </c>
    </row>
    <row r="22" spans="2:12" x14ac:dyDescent="0.3">
      <c r="B22" s="20" t="s">
        <v>65</v>
      </c>
      <c r="C22" s="22">
        <f>C21/C6</f>
        <v>8.2619511516740724E-4</v>
      </c>
      <c r="D22" s="22">
        <f t="shared" ref="D22:L22" si="7">D21/D6</f>
        <v>2.3432941367411051E-3</v>
      </c>
      <c r="E22" s="22">
        <f t="shared" si="7"/>
        <v>1.9935139989946953E-3</v>
      </c>
      <c r="F22" s="22">
        <f t="shared" si="7"/>
        <v>1.146428604831695E-3</v>
      </c>
      <c r="G22" s="22">
        <f t="shared" si="7"/>
        <v>2.647015094039118E-3</v>
      </c>
      <c r="H22" s="22">
        <f t="shared" si="7"/>
        <v>1.4770504832685763E-3</v>
      </c>
      <c r="I22" s="22">
        <f t="shared" si="7"/>
        <v>1.647778697934911E-3</v>
      </c>
      <c r="J22" s="22">
        <f t="shared" si="7"/>
        <v>1.1768778123918311E-3</v>
      </c>
      <c r="K22" s="22">
        <f t="shared" si="7"/>
        <v>9.8920694262006107E-4</v>
      </c>
      <c r="L22" s="22">
        <f t="shared" si="7"/>
        <v>1.0966027031108574E-3</v>
      </c>
    </row>
    <row r="24" spans="2:12" x14ac:dyDescent="0.3">
      <c r="B24" s="8" t="s">
        <v>4</v>
      </c>
      <c r="C24" s="19">
        <f>IFERROR('Data Sheet'!B26,0)</f>
        <v>964.92</v>
      </c>
      <c r="D24" s="19">
        <f>IFERROR('Data Sheet'!C26,0)</f>
        <v>1027.96</v>
      </c>
      <c r="E24" s="19">
        <f>IFERROR('Data Sheet'!D26,0)</f>
        <v>1077.4000000000001</v>
      </c>
      <c r="F24" s="19">
        <f>IFERROR('Data Sheet'!E26,0)</f>
        <v>1152.79</v>
      </c>
      <c r="G24" s="19">
        <f>IFERROR('Data Sheet'!F26,0)</f>
        <v>1236.28</v>
      </c>
      <c r="H24" s="19">
        <f>IFERROR('Data Sheet'!G26,0)</f>
        <v>1396.61</v>
      </c>
      <c r="I24" s="19">
        <f>IFERROR('Data Sheet'!H26,0)</f>
        <v>1644.91</v>
      </c>
      <c r="J24" s="19">
        <f>IFERROR('Data Sheet'!I26,0)</f>
        <v>1645.59</v>
      </c>
      <c r="K24" s="19">
        <f>IFERROR('Data Sheet'!J26,0)</f>
        <v>1732.41</v>
      </c>
      <c r="L24" s="19">
        <f>IFERROR('Data Sheet'!K26,0)</f>
        <v>1809.01</v>
      </c>
    </row>
    <row r="25" spans="2:12" x14ac:dyDescent="0.3">
      <c r="B25" s="20" t="s">
        <v>66</v>
      </c>
      <c r="C25" s="22">
        <f>C24/C6</f>
        <v>2.7329865976254183E-2</v>
      </c>
      <c r="D25" s="22">
        <f t="shared" ref="D25:L25" si="8">D24/D6</f>
        <v>2.6482109067770303E-2</v>
      </c>
      <c r="E25" s="22">
        <f t="shared" si="8"/>
        <v>2.7490234001240049E-2</v>
      </c>
      <c r="F25" s="22">
        <f t="shared" si="8"/>
        <v>2.6954750792656124E-2</v>
      </c>
      <c r="G25" s="22">
        <f t="shared" si="8"/>
        <v>2.845362855802696E-2</v>
      </c>
      <c r="H25" s="22">
        <f t="shared" si="8"/>
        <v>2.8891645314253867E-2</v>
      </c>
      <c r="I25" s="22">
        <f t="shared" si="8"/>
        <v>3.3306066085280348E-2</v>
      </c>
      <c r="J25" s="22">
        <f t="shared" si="8"/>
        <v>3.3407941336792708E-2</v>
      </c>
      <c r="K25" s="22">
        <f t="shared" si="8"/>
        <v>2.8566627762367396E-2</v>
      </c>
      <c r="L25" s="22">
        <f t="shared" si="8"/>
        <v>2.550810410125463E-2</v>
      </c>
    </row>
    <row r="27" spans="2:12" x14ac:dyDescent="0.3">
      <c r="B27" s="32" t="s">
        <v>67</v>
      </c>
      <c r="C27" s="33">
        <f>IFERROR(C18-SUM(C21+C24),0)</f>
        <v>12085.81</v>
      </c>
      <c r="D27" s="33">
        <f t="shared" ref="D27:L27" si="9">IFERROR(D18-SUM(D21+D24),0)</f>
        <v>13132.700000000004</v>
      </c>
      <c r="E27" s="33">
        <f t="shared" si="9"/>
        <v>13375.96</v>
      </c>
      <c r="F27" s="33">
        <f t="shared" si="9"/>
        <v>14267.69</v>
      </c>
      <c r="G27" s="33">
        <f t="shared" si="9"/>
        <v>15169.300000000003</v>
      </c>
      <c r="H27" s="34">
        <f t="shared" si="9"/>
        <v>17069.38</v>
      </c>
      <c r="I27" s="34">
        <f t="shared" si="9"/>
        <v>17617.25</v>
      </c>
      <c r="J27" s="33">
        <f t="shared" si="9"/>
        <v>15361.22</v>
      </c>
      <c r="K27" s="34">
        <f t="shared" si="9"/>
        <v>18830.749999999993</v>
      </c>
      <c r="L27" s="34">
        <f t="shared" si="9"/>
        <v>23817.479999999996</v>
      </c>
    </row>
    <row r="28" spans="2:12" x14ac:dyDescent="0.3">
      <c r="B28" s="20" t="s">
        <v>68</v>
      </c>
      <c r="C28" s="22">
        <f>C27/C6</f>
        <v>0.34231186783823797</v>
      </c>
      <c r="D28" s="22">
        <f t="shared" ref="D28:L28" si="10">D27/D6</f>
        <v>0.33832210762510911</v>
      </c>
      <c r="E28" s="22">
        <f t="shared" si="10"/>
        <v>0.34129225022389714</v>
      </c>
      <c r="F28" s="22">
        <f t="shared" si="10"/>
        <v>0.33360978871856267</v>
      </c>
      <c r="G28" s="22">
        <f t="shared" si="10"/>
        <v>0.34912934584825317</v>
      </c>
      <c r="H28" s="22">
        <f t="shared" si="10"/>
        <v>0.3531139492730388</v>
      </c>
      <c r="I28" s="22">
        <f t="shared" si="10"/>
        <v>0.35671331120906624</v>
      </c>
      <c r="J28" s="22">
        <f t="shared" si="10"/>
        <v>0.31185577004087706</v>
      </c>
      <c r="K28" s="22">
        <f t="shared" si="10"/>
        <v>0.31051022895053687</v>
      </c>
      <c r="L28" s="22">
        <f t="shared" si="10"/>
        <v>0.33584046482305235</v>
      </c>
    </row>
    <row r="30" spans="2:12" x14ac:dyDescent="0.3">
      <c r="B30" s="8" t="s">
        <v>7</v>
      </c>
      <c r="C30" s="19">
        <f>IFERROR('Data Sheet'!B29,0)</f>
        <v>4060.93</v>
      </c>
      <c r="D30" s="19">
        <f>IFERROR('Data Sheet'!C29,0)</f>
        <v>4596.42</v>
      </c>
      <c r="E30" s="19">
        <f>IFERROR('Data Sheet'!D29,0)</f>
        <v>5358.21</v>
      </c>
      <c r="F30" s="19">
        <f>IFERROR('Data Sheet'!E29,0)</f>
        <v>5549.09</v>
      </c>
      <c r="G30" s="19">
        <f>IFERROR('Data Sheet'!F29,0)</f>
        <v>5916.43</v>
      </c>
      <c r="H30" s="23">
        <f>IFERROR('Data Sheet'!G29,0)</f>
        <v>6313.92</v>
      </c>
      <c r="I30" s="19">
        <f>IFERROR('Data Sheet'!H29,0)</f>
        <v>4441.79</v>
      </c>
      <c r="J30" s="19">
        <f>IFERROR('Data Sheet'!I29,0)</f>
        <v>4555.29</v>
      </c>
      <c r="K30" s="19">
        <f>IFERROR('Data Sheet'!J29,0)</f>
        <v>5237.34</v>
      </c>
      <c r="L30" s="19">
        <f>IFERROR('Data Sheet'!K29,0)</f>
        <v>6438.4</v>
      </c>
    </row>
    <row r="31" spans="2:12" x14ac:dyDescent="0.3">
      <c r="B31" s="20" t="s">
        <v>69</v>
      </c>
      <c r="C31" s="22">
        <f>C30/C27</f>
        <v>0.33600809544416138</v>
      </c>
      <c r="D31" s="22">
        <f t="shared" ref="D31:L31" si="11">D30/D27</f>
        <v>0.34999809635490026</v>
      </c>
      <c r="E31" s="22">
        <f t="shared" si="11"/>
        <v>0.40058507950083588</v>
      </c>
      <c r="F31" s="22">
        <f t="shared" si="11"/>
        <v>0.3889270092075171</v>
      </c>
      <c r="G31" s="22">
        <f t="shared" si="11"/>
        <v>0.3900265668158715</v>
      </c>
      <c r="H31" s="22">
        <f t="shared" si="11"/>
        <v>0.36989744208635578</v>
      </c>
      <c r="I31" s="22">
        <f t="shared" si="11"/>
        <v>0.25212731839532276</v>
      </c>
      <c r="J31" s="22">
        <f t="shared" si="11"/>
        <v>0.29654480568600672</v>
      </c>
      <c r="K31" s="22">
        <f t="shared" si="11"/>
        <v>0.27812699972120081</v>
      </c>
      <c r="L31" s="22">
        <f t="shared" si="11"/>
        <v>0.27032246904374435</v>
      </c>
    </row>
    <row r="33" spans="1:12" x14ac:dyDescent="0.3">
      <c r="B33" s="32" t="s">
        <v>70</v>
      </c>
      <c r="C33" s="33">
        <f>IFERROR(C27-C30,0)</f>
        <v>8024.8799999999992</v>
      </c>
      <c r="D33" s="33">
        <f t="shared" ref="D33:L33" si="12">IFERROR(D27-D30,0)</f>
        <v>8536.2800000000043</v>
      </c>
      <c r="E33" s="33">
        <f t="shared" si="12"/>
        <v>8017.7499999999991</v>
      </c>
      <c r="F33" s="33">
        <f t="shared" si="12"/>
        <v>8718.6</v>
      </c>
      <c r="G33" s="33">
        <f t="shared" si="12"/>
        <v>9252.8700000000026</v>
      </c>
      <c r="H33" s="34">
        <f t="shared" si="12"/>
        <v>10755.460000000001</v>
      </c>
      <c r="I33" s="34">
        <f t="shared" si="12"/>
        <v>13175.46</v>
      </c>
      <c r="J33" s="34">
        <f t="shared" si="12"/>
        <v>10805.93</v>
      </c>
      <c r="K33" s="34">
        <f t="shared" si="12"/>
        <v>13593.409999999993</v>
      </c>
      <c r="L33" s="34">
        <f t="shared" si="12"/>
        <v>17379.079999999994</v>
      </c>
    </row>
    <row r="34" spans="1:12" x14ac:dyDescent="0.3">
      <c r="B34" s="20" t="s">
        <v>71</v>
      </c>
      <c r="C34" s="22">
        <f>C33/C6</f>
        <v>0.22729230907797812</v>
      </c>
      <c r="D34" s="22">
        <f t="shared" ref="D34:L34" si="13">D33/D6</f>
        <v>0.21991001400154322</v>
      </c>
      <c r="E34" s="22">
        <f t="shared" si="13"/>
        <v>0.20457566703493815</v>
      </c>
      <c r="F34" s="22">
        <f t="shared" si="13"/>
        <v>0.20385993134990041</v>
      </c>
      <c r="G34" s="22">
        <f t="shared" si="13"/>
        <v>0.21295962571238797</v>
      </c>
      <c r="H34" s="22">
        <f t="shared" si="13"/>
        <v>0.22249800267193054</v>
      </c>
      <c r="I34" s="22">
        <f t="shared" si="13"/>
        <v>0.26677614061800814</v>
      </c>
      <c r="J34" s="22">
        <f t="shared" si="13"/>
        <v>0.21937656131204519</v>
      </c>
      <c r="K34" s="22">
        <f t="shared" si="13"/>
        <v>0.2241489505897809</v>
      </c>
      <c r="L34" s="22">
        <f t="shared" si="13"/>
        <v>0.24505524116728605</v>
      </c>
    </row>
    <row r="36" spans="1:12" x14ac:dyDescent="0.3">
      <c r="B36" s="8" t="s">
        <v>73</v>
      </c>
      <c r="C36" s="17">
        <f>IFERROR('Data Sheet'!B93,0)</f>
        <v>1192.98</v>
      </c>
      <c r="D36" s="17">
        <f>IFERROR('Data Sheet'!C93,0)</f>
        <v>1202.33</v>
      </c>
      <c r="E36" s="17">
        <f>IFERROR('Data Sheet'!D93,0)</f>
        <v>1207.08</v>
      </c>
      <c r="F36" s="17">
        <f>IFERROR('Data Sheet'!E93,0)</f>
        <v>1214.74</v>
      </c>
      <c r="G36" s="17">
        <f>IFERROR('Data Sheet'!F93,0)</f>
        <v>1220.43</v>
      </c>
      <c r="H36" s="17">
        <f>IFERROR('Data Sheet'!G93,0)</f>
        <v>1225.8599999999999</v>
      </c>
      <c r="I36" s="17">
        <f>IFERROR('Data Sheet'!H93,0)</f>
        <v>1229.22</v>
      </c>
      <c r="J36" s="17">
        <f>IFERROR('Data Sheet'!I93,0)</f>
        <v>1230.8800000000001</v>
      </c>
      <c r="K36" s="17">
        <f>IFERROR('Data Sheet'!J93,0)</f>
        <v>1232.33</v>
      </c>
      <c r="L36" s="17">
        <f>IFERROR('Data Sheet'!K93,0)</f>
        <v>1242.8</v>
      </c>
    </row>
    <row r="38" spans="1:12" x14ac:dyDescent="0.3">
      <c r="B38" s="8" t="s">
        <v>74</v>
      </c>
      <c r="C38" s="18">
        <f>C33/C36</f>
        <v>6.7267514962530797</v>
      </c>
      <c r="D38" s="18">
        <f t="shared" ref="D38:L38" si="14">D33/D36</f>
        <v>7.0997812580572761</v>
      </c>
      <c r="E38" s="18">
        <f t="shared" si="14"/>
        <v>6.6422689465486959</v>
      </c>
      <c r="F38" s="18">
        <f t="shared" si="14"/>
        <v>7.1773383604722003</v>
      </c>
      <c r="G38" s="18">
        <f t="shared" si="14"/>
        <v>7.5816474521275303</v>
      </c>
      <c r="H38" s="24">
        <f t="shared" si="14"/>
        <v>8.7738077757655866</v>
      </c>
      <c r="I38" s="24">
        <f t="shared" si="14"/>
        <v>10.718553228876848</v>
      </c>
      <c r="J38" s="24">
        <f t="shared" si="14"/>
        <v>8.7790280124788769</v>
      </c>
      <c r="K38" s="24">
        <f t="shared" si="14"/>
        <v>11.030657372619341</v>
      </c>
      <c r="L38" s="24">
        <f t="shared" si="14"/>
        <v>13.983810749919533</v>
      </c>
    </row>
    <row r="39" spans="1:12" x14ac:dyDescent="0.3">
      <c r="B39" s="8" t="s">
        <v>75</v>
      </c>
      <c r="C39" s="21" t="s">
        <v>72</v>
      </c>
      <c r="D39" s="22">
        <f>D38/C38-1</f>
        <v>5.5454666641391537E-2</v>
      </c>
      <c r="E39" s="22">
        <f t="shared" ref="E39:L39" si="15">E38/D38-1</f>
        <v>-6.4440339058244422E-2</v>
      </c>
      <c r="F39" s="22">
        <f t="shared" si="15"/>
        <v>8.0555216632943516E-2</v>
      </c>
      <c r="G39" s="22">
        <f t="shared" si="15"/>
        <v>5.633134058190481E-2</v>
      </c>
      <c r="H39" s="22">
        <f t="shared" si="15"/>
        <v>0.15724291206702268</v>
      </c>
      <c r="I39" s="22">
        <f t="shared" si="15"/>
        <v>0.22165352864042731</v>
      </c>
      <c r="J39" s="22">
        <f t="shared" si="15"/>
        <v>-0.18095028078721465</v>
      </c>
      <c r="K39" s="22">
        <f t="shared" si="15"/>
        <v>0.25647820657821163</v>
      </c>
      <c r="L39" s="22">
        <f t="shared" si="15"/>
        <v>0.26772233762156428</v>
      </c>
    </row>
    <row r="41" spans="1:12" x14ac:dyDescent="0.3">
      <c r="B41" s="8" t="s">
        <v>76</v>
      </c>
      <c r="C41" s="25">
        <f>IFERROR('Data Sheet'!B31/C36,0)</f>
        <v>4</v>
      </c>
      <c r="D41" s="25">
        <f>IFERROR('Data Sheet'!C31/D36,0)</f>
        <v>4.1666514184957544</v>
      </c>
      <c r="E41" s="25">
        <f>IFERROR('Data Sheet'!D31/E36,0)</f>
        <v>5.666666666666667</v>
      </c>
      <c r="F41" s="25">
        <f>IFERROR('Data Sheet'!E31/F36,0)</f>
        <v>4.7500041161071511</v>
      </c>
      <c r="G41" s="25">
        <f>IFERROR('Data Sheet'!F31/G36,0)</f>
        <v>5.1499963127750057</v>
      </c>
      <c r="H41" s="25">
        <f>IFERROR('Data Sheet'!G31/H36,0)</f>
        <v>5.7500040787691908</v>
      </c>
      <c r="I41" s="25">
        <f>IFERROR('Data Sheet'!H31/I36,0)</f>
        <v>10.149997559427929</v>
      </c>
      <c r="J41" s="25">
        <f>IFERROR('Data Sheet'!I31/J36,0)</f>
        <v>10.749999999999998</v>
      </c>
      <c r="K41" s="25">
        <f>IFERROR('Data Sheet'!J31/K36,0)</f>
        <v>11.500004057354767</v>
      </c>
      <c r="L41" s="25">
        <f>IFERROR('Data Sheet'!K31/L36,0)</f>
        <v>15.500000000000002</v>
      </c>
    </row>
    <row r="42" spans="1:12" x14ac:dyDescent="0.3">
      <c r="B42" s="8" t="s">
        <v>77</v>
      </c>
      <c r="C42" s="21">
        <f>C41/C38</f>
        <v>0.59464066752400047</v>
      </c>
      <c r="D42" s="22">
        <f t="shared" ref="D42:L42" si="16">D41/D38</f>
        <v>0.58687039319235046</v>
      </c>
      <c r="E42" s="22">
        <f t="shared" si="16"/>
        <v>0.85312213526238667</v>
      </c>
      <c r="F42" s="22">
        <f t="shared" si="16"/>
        <v>0.66180579450829269</v>
      </c>
      <c r="G42" s="22">
        <f t="shared" si="16"/>
        <v>0.67927140443991962</v>
      </c>
      <c r="H42" s="22">
        <f t="shared" si="16"/>
        <v>0.65536016125763097</v>
      </c>
      <c r="I42" s="22">
        <f t="shared" si="16"/>
        <v>0.94695593170940517</v>
      </c>
      <c r="J42" s="22">
        <f t="shared" si="16"/>
        <v>1.2245091352618422</v>
      </c>
      <c r="K42" s="22">
        <f t="shared" si="16"/>
        <v>1.0425492941064831</v>
      </c>
      <c r="L42" s="22">
        <f t="shared" si="16"/>
        <v>1.108424611659536</v>
      </c>
    </row>
    <row r="44" spans="1:12" ht="15" thickBot="1" x14ac:dyDescent="0.35">
      <c r="B44" s="35" t="s">
        <v>78</v>
      </c>
      <c r="C44" s="36">
        <f>IFERROR(IF(C38&gt;C41,1-C42,0),0)</f>
        <v>0.40535933247599953</v>
      </c>
      <c r="D44" s="36">
        <f t="shared" ref="D44:L44" si="17">IFERROR(IF(D38&gt;D41,1-D42,0),0)</f>
        <v>0.41312960680764954</v>
      </c>
      <c r="E44" s="36">
        <f t="shared" si="17"/>
        <v>0.14687786473761333</v>
      </c>
      <c r="F44" s="36">
        <f t="shared" si="17"/>
        <v>0.33819420549170731</v>
      </c>
      <c r="G44" s="36">
        <f t="shared" si="17"/>
        <v>0.32072859556008038</v>
      </c>
      <c r="H44" s="36">
        <f t="shared" si="17"/>
        <v>0.34463983874236903</v>
      </c>
      <c r="I44" s="36">
        <f t="shared" si="17"/>
        <v>5.3044068290594826E-2</v>
      </c>
      <c r="J44" s="36">
        <f t="shared" si="17"/>
        <v>0</v>
      </c>
      <c r="K44" s="36">
        <f t="shared" si="17"/>
        <v>0</v>
      </c>
      <c r="L44" s="36">
        <f t="shared" si="17"/>
        <v>0</v>
      </c>
    </row>
    <row r="45" spans="1:12" ht="15" thickTop="1" x14ac:dyDescent="0.3"/>
    <row r="46" spans="1:12" x14ac:dyDescent="0.3">
      <c r="A46" t="s">
        <v>55</v>
      </c>
      <c r="B46" s="13" t="s">
        <v>79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x14ac:dyDescent="0.3">
      <c r="B47" s="4" t="s">
        <v>10</v>
      </c>
      <c r="C47" s="19">
        <f>IFERROR('Data Sheet'!B57,0)</f>
        <v>795.32</v>
      </c>
      <c r="D47" s="19">
        <f>IFERROR('Data Sheet'!C57,0)</f>
        <v>801.55</v>
      </c>
      <c r="E47" s="19">
        <f>IFERROR('Data Sheet'!D57,0)</f>
        <v>804.72</v>
      </c>
      <c r="F47" s="19">
        <f>IFERROR('Data Sheet'!E57,0)</f>
        <v>1214.74</v>
      </c>
      <c r="G47" s="19">
        <f>IFERROR('Data Sheet'!F57,0)</f>
        <v>1220.43</v>
      </c>
      <c r="H47" s="19">
        <f>IFERROR('Data Sheet'!G57,0)</f>
        <v>1225.8599999999999</v>
      </c>
      <c r="I47" s="19">
        <f>IFERROR('Data Sheet'!H57,0)</f>
        <v>1229.22</v>
      </c>
      <c r="J47" s="19">
        <f>IFERROR('Data Sheet'!I57,0)</f>
        <v>1230.8800000000001</v>
      </c>
      <c r="K47" s="19">
        <f>IFERROR('Data Sheet'!J57,0)</f>
        <v>1232.33</v>
      </c>
      <c r="L47" s="19">
        <f>IFERROR('Data Sheet'!K57,0)</f>
        <v>1242.8</v>
      </c>
    </row>
    <row r="48" spans="1:12" x14ac:dyDescent="0.3">
      <c r="B48" s="4" t="s">
        <v>11</v>
      </c>
      <c r="C48" s="19">
        <f>IFERROR('Data Sheet'!B58,0)</f>
        <v>26441.64</v>
      </c>
      <c r="D48" s="19">
        <f>IFERROR('Data Sheet'!C58,0)</f>
        <v>30933.94</v>
      </c>
      <c r="E48" s="19">
        <f>IFERROR('Data Sheet'!D58,0)</f>
        <v>41874.800000000003</v>
      </c>
      <c r="F48" s="19">
        <f>IFERROR('Data Sheet'!E58,0)</f>
        <v>45198.19</v>
      </c>
      <c r="G48" s="19">
        <f>IFERROR('Data Sheet'!F58,0)</f>
        <v>51289.68</v>
      </c>
      <c r="H48" s="19">
        <f>IFERROR('Data Sheet'!G58,0)</f>
        <v>57915.01</v>
      </c>
      <c r="I48" s="19">
        <f>IFERROR('Data Sheet'!H58,0)</f>
        <v>64044.04</v>
      </c>
      <c r="J48" s="19">
        <f>IFERROR('Data Sheet'!I58,0)</f>
        <v>59116.46</v>
      </c>
      <c r="K48" s="19">
        <f>IFERROR('Data Sheet'!J58,0)</f>
        <v>61223.24</v>
      </c>
      <c r="L48" s="19">
        <f>IFERROR('Data Sheet'!K58,0)</f>
        <v>67912.460000000006</v>
      </c>
    </row>
    <row r="49" spans="2:12" x14ac:dyDescent="0.3">
      <c r="B49" s="4" t="s">
        <v>35</v>
      </c>
      <c r="C49" s="19">
        <f>IFERROR('Data Sheet'!B59,0)</f>
        <v>242.41</v>
      </c>
      <c r="D49" s="19">
        <f>IFERROR('Data Sheet'!C59,0)</f>
        <v>268.8</v>
      </c>
      <c r="E49" s="19">
        <f>IFERROR('Data Sheet'!D59,0)</f>
        <v>83.78</v>
      </c>
      <c r="F49" s="19">
        <f>IFERROR('Data Sheet'!E59,0)</f>
        <v>45.72</v>
      </c>
      <c r="G49" s="19">
        <f>IFERROR('Data Sheet'!F59,0)</f>
        <v>35.92</v>
      </c>
      <c r="H49" s="19">
        <f>IFERROR('Data Sheet'!G59,0)</f>
        <v>13.44</v>
      </c>
      <c r="I49" s="19">
        <f>IFERROR('Data Sheet'!H59,0)</f>
        <v>277.45</v>
      </c>
      <c r="J49" s="19">
        <f>IFERROR('Data Sheet'!I59,0)</f>
        <v>270.83</v>
      </c>
      <c r="K49" s="19">
        <f>IFERROR('Data Sheet'!J59,0)</f>
        <v>249.44</v>
      </c>
      <c r="L49" s="19">
        <f>IFERROR('Data Sheet'!K59,0)</f>
        <v>306.04000000000002</v>
      </c>
    </row>
    <row r="50" spans="2:12" x14ac:dyDescent="0.3">
      <c r="B50" s="4" t="s">
        <v>36</v>
      </c>
      <c r="C50" s="19">
        <f>IFERROR('Data Sheet'!B60,0)</f>
        <v>13369.04</v>
      </c>
      <c r="D50" s="19">
        <f>IFERROR('Data Sheet'!C60,0)</f>
        <v>13947.93</v>
      </c>
      <c r="E50" s="19">
        <f>IFERROR('Data Sheet'!D60,0)</f>
        <v>8888.0400000000009</v>
      </c>
      <c r="F50" s="19">
        <f>IFERROR('Data Sheet'!E60,0)</f>
        <v>9439.67</v>
      </c>
      <c r="G50" s="19">
        <f>IFERROR('Data Sheet'!F60,0)</f>
        <v>11694.85</v>
      </c>
      <c r="H50" s="19">
        <f>IFERROR('Data Sheet'!G60,0)</f>
        <v>12584.73</v>
      </c>
      <c r="I50" s="19">
        <f>IFERROR('Data Sheet'!H60,0)</f>
        <v>11760.04</v>
      </c>
      <c r="J50" s="19">
        <f>IFERROR('Data Sheet'!I60,0)</f>
        <v>13142.59</v>
      </c>
      <c r="K50" s="19">
        <f>IFERROR('Data Sheet'!J60,0)</f>
        <v>14491.01</v>
      </c>
      <c r="L50" s="19">
        <f>IFERROR('Data Sheet'!K60,0)</f>
        <v>16369.66</v>
      </c>
    </row>
    <row r="51" spans="2:12" x14ac:dyDescent="0.3">
      <c r="B51" s="37" t="s">
        <v>82</v>
      </c>
      <c r="C51" s="33">
        <f>SUM(C47:C50)</f>
        <v>40848.410000000003</v>
      </c>
      <c r="D51" s="33">
        <f t="shared" ref="D51:L51" si="18">SUM(D47:D50)</f>
        <v>45952.22</v>
      </c>
      <c r="E51" s="33">
        <f t="shared" si="18"/>
        <v>51651.340000000004</v>
      </c>
      <c r="F51" s="33">
        <f t="shared" si="18"/>
        <v>55898.32</v>
      </c>
      <c r="G51" s="33">
        <f t="shared" si="18"/>
        <v>64240.88</v>
      </c>
      <c r="H51" s="33">
        <f t="shared" si="18"/>
        <v>71739.040000000008</v>
      </c>
      <c r="I51" s="33">
        <f t="shared" si="18"/>
        <v>77310.75</v>
      </c>
      <c r="J51" s="33">
        <f t="shared" si="18"/>
        <v>73760.759999999995</v>
      </c>
      <c r="K51" s="33">
        <f t="shared" si="18"/>
        <v>77196.02</v>
      </c>
      <c r="L51" s="33">
        <f t="shared" si="18"/>
        <v>85830.96</v>
      </c>
    </row>
    <row r="53" spans="2:12" x14ac:dyDescent="0.3">
      <c r="B53" s="4" t="s">
        <v>84</v>
      </c>
      <c r="C53" s="19">
        <f>IFERROR('Data Sheet'!B62,0)</f>
        <v>12921.3</v>
      </c>
      <c r="D53" s="19">
        <f>IFERROR('Data Sheet'!C62,0)</f>
        <v>15303.28</v>
      </c>
      <c r="E53" s="19">
        <f>IFERROR('Data Sheet'!D62,0)</f>
        <v>15106.63</v>
      </c>
      <c r="F53" s="19">
        <f>IFERROR('Data Sheet'!E62,0)</f>
        <v>15893.48</v>
      </c>
      <c r="G53" s="19">
        <f>IFERROR('Data Sheet'!F62,0)</f>
        <v>16523.96</v>
      </c>
      <c r="H53" s="19">
        <f>IFERROR('Data Sheet'!G62,0)</f>
        <v>19374.189999999999</v>
      </c>
      <c r="I53" s="19">
        <f>IFERROR('Data Sheet'!H62,0)</f>
        <v>21713.34</v>
      </c>
      <c r="J53" s="19">
        <f>IFERROR('Data Sheet'!I62,0)</f>
        <v>23298.48</v>
      </c>
      <c r="K53" s="19">
        <f>IFERROR('Data Sheet'!J62,0)</f>
        <v>24231.59</v>
      </c>
      <c r="L53" s="19">
        <f>IFERROR('Data Sheet'!K62,0)</f>
        <v>25851.27</v>
      </c>
    </row>
    <row r="54" spans="2:12" x14ac:dyDescent="0.3">
      <c r="B54" s="4" t="s">
        <v>14</v>
      </c>
      <c r="C54" s="19">
        <f>IFERROR('Data Sheet'!B63,0)</f>
        <v>3117.37</v>
      </c>
      <c r="D54" s="19">
        <f>IFERROR('Data Sheet'!C63,0)</f>
        <v>2700.2</v>
      </c>
      <c r="E54" s="19">
        <f>IFERROR('Data Sheet'!D63,0)</f>
        <v>2559.7199999999998</v>
      </c>
      <c r="F54" s="19">
        <f>IFERROR('Data Sheet'!E63,0)</f>
        <v>3729.89</v>
      </c>
      <c r="G54" s="19">
        <f>IFERROR('Data Sheet'!F63,0)</f>
        <v>5508.33</v>
      </c>
      <c r="H54" s="19">
        <f>IFERROR('Data Sheet'!G63,0)</f>
        <v>4136.42</v>
      </c>
      <c r="I54" s="19">
        <f>IFERROR('Data Sheet'!H63,0)</f>
        <v>3256.46</v>
      </c>
      <c r="J54" s="19">
        <f>IFERROR('Data Sheet'!I63,0)</f>
        <v>4011.29</v>
      </c>
      <c r="K54" s="19">
        <f>IFERROR('Data Sheet'!J63,0)</f>
        <v>3225.54</v>
      </c>
      <c r="L54" s="19">
        <f>IFERROR('Data Sheet'!K63,0)</f>
        <v>3003.3</v>
      </c>
    </row>
    <row r="55" spans="2:12" x14ac:dyDescent="0.3">
      <c r="B55" s="4" t="s">
        <v>15</v>
      </c>
      <c r="C55" s="19">
        <f>IFERROR('Data Sheet'!B64,0)</f>
        <v>7284.02</v>
      </c>
      <c r="D55" s="19">
        <f>IFERROR('Data Sheet'!C64,0)</f>
        <v>6942.77</v>
      </c>
      <c r="E55" s="19">
        <f>IFERROR('Data Sheet'!D64,0)</f>
        <v>11747.59</v>
      </c>
      <c r="F55" s="19">
        <f>IFERROR('Data Sheet'!E64,0)</f>
        <v>17581.38</v>
      </c>
      <c r="G55" s="19">
        <f>IFERROR('Data Sheet'!F64,0)</f>
        <v>22052.86</v>
      </c>
      <c r="H55" s="19">
        <f>IFERROR('Data Sheet'!G64,0)</f>
        <v>25043.49</v>
      </c>
      <c r="I55" s="19">
        <f>IFERROR('Data Sheet'!H64,0)</f>
        <v>28663.35</v>
      </c>
      <c r="J55" s="19">
        <f>IFERROR('Data Sheet'!I64,0)</f>
        <v>24870.87</v>
      </c>
      <c r="K55" s="19">
        <f>IFERROR('Data Sheet'!J64,0)</f>
        <v>24841.01</v>
      </c>
      <c r="L55" s="19">
        <f>IFERROR('Data Sheet'!K64,0)</f>
        <v>29415.02</v>
      </c>
    </row>
    <row r="56" spans="2:12" x14ac:dyDescent="0.3">
      <c r="B56" s="4" t="s">
        <v>37</v>
      </c>
      <c r="C56" s="19">
        <f>IFERROR('Data Sheet'!B65-SUM('Data Sheet'!B67:B69),0)</f>
        <v>3341.08</v>
      </c>
      <c r="D56" s="19">
        <f>IFERROR('Data Sheet'!C65-SUM('Data Sheet'!C67:C69),0)</f>
        <v>2540.8100000000013</v>
      </c>
      <c r="E56" s="19">
        <f>IFERROR('Data Sheet'!D65-SUM('Data Sheet'!D67:D69),0)</f>
        <v>5194.82</v>
      </c>
      <c r="F56" s="19">
        <f>IFERROR('Data Sheet'!E65-SUM('Data Sheet'!E67:E69),0)</f>
        <v>5135.7800000000007</v>
      </c>
      <c r="G56" s="19">
        <f>IFERROR('Data Sheet'!F65-SUM('Data Sheet'!F67:F69),0)</f>
        <v>7078.7499999999982</v>
      </c>
      <c r="H56" s="19">
        <f>IFERROR('Data Sheet'!G65-SUM('Data Sheet'!G67:G69),0)</f>
        <v>7138.07</v>
      </c>
      <c r="I56" s="19">
        <f>IFERROR('Data Sheet'!H65-SUM('Data Sheet'!H67:H69),0)</f>
        <v>4958.4499999999971</v>
      </c>
      <c r="J56" s="19">
        <f>IFERROR('Data Sheet'!I65-SUM('Data Sheet'!I67:I69),0)</f>
        <v>4022.239999999998</v>
      </c>
      <c r="K56" s="19">
        <f>IFERROR('Data Sheet'!J65-SUM('Data Sheet'!J67:J69),0)</f>
        <v>6917.41</v>
      </c>
      <c r="L56" s="19">
        <f>IFERROR('Data Sheet'!K65-SUM('Data Sheet'!K67:K69),0)</f>
        <v>7953.8499999999985</v>
      </c>
    </row>
    <row r="57" spans="2:12" x14ac:dyDescent="0.3">
      <c r="B57" s="37" t="s">
        <v>81</v>
      </c>
      <c r="C57" s="33">
        <f>SUM(C53:C56)</f>
        <v>26663.769999999997</v>
      </c>
      <c r="D57" s="33">
        <f t="shared" ref="D57:L57" si="19">SUM(D53:D56)</f>
        <v>27487.06</v>
      </c>
      <c r="E57" s="33">
        <f t="shared" si="19"/>
        <v>34608.759999999995</v>
      </c>
      <c r="F57" s="33">
        <f t="shared" si="19"/>
        <v>42340.53</v>
      </c>
      <c r="G57" s="33">
        <f t="shared" si="19"/>
        <v>51163.9</v>
      </c>
      <c r="H57" s="33">
        <f t="shared" si="19"/>
        <v>55692.170000000006</v>
      </c>
      <c r="I57" s="33">
        <f t="shared" si="19"/>
        <v>58591.599999999991</v>
      </c>
      <c r="J57" s="33">
        <f t="shared" si="19"/>
        <v>56202.879999999997</v>
      </c>
      <c r="K57" s="33">
        <f t="shared" si="19"/>
        <v>59215.55</v>
      </c>
      <c r="L57" s="33">
        <f t="shared" si="19"/>
        <v>66223.44</v>
      </c>
    </row>
    <row r="59" spans="2:12" x14ac:dyDescent="0.3">
      <c r="B59" s="4" t="s">
        <v>42</v>
      </c>
      <c r="C59" s="19">
        <f>IFERROR('Data Sheet'!B67,0)</f>
        <v>2439.21</v>
      </c>
      <c r="D59" s="19">
        <f>IFERROR('Data Sheet'!C67,0)</f>
        <v>1982.07</v>
      </c>
      <c r="E59" s="19">
        <f>IFERROR('Data Sheet'!D67,0)</f>
        <v>1917.18</v>
      </c>
      <c r="F59" s="19">
        <f>IFERROR('Data Sheet'!E67,0)</f>
        <v>2474.29</v>
      </c>
      <c r="G59" s="19">
        <f>IFERROR('Data Sheet'!F67,0)</f>
        <v>2682.29</v>
      </c>
      <c r="H59" s="19">
        <f>IFERROR('Data Sheet'!G67,0)</f>
        <v>4035.28</v>
      </c>
      <c r="I59" s="19">
        <f>IFERROR('Data Sheet'!H67,0)</f>
        <v>2562.48</v>
      </c>
      <c r="J59" s="19">
        <f>IFERROR('Data Sheet'!I67,0)</f>
        <v>2501.6999999999998</v>
      </c>
      <c r="K59" s="19">
        <f>IFERROR('Data Sheet'!J67,0)</f>
        <v>2461.9</v>
      </c>
      <c r="L59" s="19">
        <f>IFERROR('Data Sheet'!K67,0)</f>
        <v>2956.17</v>
      </c>
    </row>
    <row r="60" spans="2:12" x14ac:dyDescent="0.3">
      <c r="B60" s="4" t="s">
        <v>29</v>
      </c>
      <c r="C60" s="19">
        <f>IFERROR('Data Sheet'!B68,0)</f>
        <v>8255.24</v>
      </c>
      <c r="D60" s="19">
        <f>IFERROR('Data Sheet'!C68,0)</f>
        <v>8586.8700000000008</v>
      </c>
      <c r="E60" s="19">
        <f>IFERROR('Data Sheet'!D68,0)</f>
        <v>9062.1</v>
      </c>
      <c r="F60" s="19">
        <f>IFERROR('Data Sheet'!E68,0)</f>
        <v>8116.1</v>
      </c>
      <c r="G60" s="19">
        <f>IFERROR('Data Sheet'!F68,0)</f>
        <v>7495.09</v>
      </c>
      <c r="H60" s="19">
        <f>IFERROR('Data Sheet'!G68,0)</f>
        <v>7859.56</v>
      </c>
      <c r="I60" s="19">
        <f>IFERROR('Data Sheet'!H68,0)</f>
        <v>8879.33</v>
      </c>
      <c r="J60" s="19">
        <f>IFERROR('Data Sheet'!I68,0)</f>
        <v>10397.16</v>
      </c>
      <c r="K60" s="19">
        <f>IFERROR('Data Sheet'!J68,0)</f>
        <v>10864.15</v>
      </c>
      <c r="L60" s="19">
        <f>IFERROR('Data Sheet'!K68,0)</f>
        <v>11771.16</v>
      </c>
    </row>
    <row r="61" spans="2:12" x14ac:dyDescent="0.3">
      <c r="B61" s="3" t="s">
        <v>51</v>
      </c>
      <c r="C61" s="19">
        <f>IFERROR('Data Sheet'!B69,0)</f>
        <v>3490.19</v>
      </c>
      <c r="D61" s="19">
        <f>IFERROR('Data Sheet'!C69,0)</f>
        <v>7896.22</v>
      </c>
      <c r="E61" s="19">
        <f>IFERROR('Data Sheet'!D69,0)</f>
        <v>6063.3</v>
      </c>
      <c r="F61" s="19">
        <f>IFERROR('Data Sheet'!E69,0)</f>
        <v>2967.4</v>
      </c>
      <c r="G61" s="19">
        <f>IFERROR('Data Sheet'!F69,0)</f>
        <v>2899.6</v>
      </c>
      <c r="H61" s="19">
        <f>IFERROR('Data Sheet'!G69,0)</f>
        <v>4152.03</v>
      </c>
      <c r="I61" s="19">
        <f>IFERROR('Data Sheet'!H69,0)</f>
        <v>7277.34</v>
      </c>
      <c r="J61" s="19">
        <f>IFERROR('Data Sheet'!I69,0)</f>
        <v>4659.0200000000004</v>
      </c>
      <c r="K61" s="19">
        <f>IFERROR('Data Sheet'!J69,0)</f>
        <v>4654.42</v>
      </c>
      <c r="L61" s="19">
        <f>IFERROR('Data Sheet'!K69,0)</f>
        <v>4880.1899999999996</v>
      </c>
    </row>
    <row r="62" spans="2:12" x14ac:dyDescent="0.3">
      <c r="B62" s="32" t="s">
        <v>83</v>
      </c>
      <c r="C62" s="33">
        <f>SUM(C59:C61)</f>
        <v>14184.640000000001</v>
      </c>
      <c r="D62" s="33">
        <f t="shared" ref="D62:L62" si="20">SUM(D59:D61)</f>
        <v>18465.16</v>
      </c>
      <c r="E62" s="33">
        <f t="shared" si="20"/>
        <v>17042.580000000002</v>
      </c>
      <c r="F62" s="33">
        <f t="shared" si="20"/>
        <v>13557.789999999999</v>
      </c>
      <c r="G62" s="33">
        <f t="shared" si="20"/>
        <v>13076.980000000001</v>
      </c>
      <c r="H62" s="33">
        <f t="shared" si="20"/>
        <v>16046.869999999999</v>
      </c>
      <c r="I62" s="33">
        <f t="shared" si="20"/>
        <v>18719.150000000001</v>
      </c>
      <c r="J62" s="33">
        <f t="shared" si="20"/>
        <v>17557.88</v>
      </c>
      <c r="K62" s="33">
        <f t="shared" si="20"/>
        <v>17980.47</v>
      </c>
      <c r="L62" s="33">
        <f t="shared" si="20"/>
        <v>19607.52</v>
      </c>
    </row>
    <row r="64" spans="2:12" x14ac:dyDescent="0.3">
      <c r="B64" s="32" t="s">
        <v>80</v>
      </c>
      <c r="C64" s="33">
        <f>C57+C62</f>
        <v>40848.409999999996</v>
      </c>
      <c r="D64" s="33">
        <f t="shared" ref="D64:L64" si="21">D57+D62</f>
        <v>45952.22</v>
      </c>
      <c r="E64" s="33">
        <f t="shared" si="21"/>
        <v>51651.34</v>
      </c>
      <c r="F64" s="33">
        <f t="shared" si="21"/>
        <v>55898.32</v>
      </c>
      <c r="G64" s="33">
        <f t="shared" si="21"/>
        <v>64240.880000000005</v>
      </c>
      <c r="H64" s="33">
        <f t="shared" si="21"/>
        <v>71739.040000000008</v>
      </c>
      <c r="I64" s="33">
        <f t="shared" si="21"/>
        <v>77310.75</v>
      </c>
      <c r="J64" s="33">
        <f t="shared" si="21"/>
        <v>73760.759999999995</v>
      </c>
      <c r="K64" s="33">
        <f t="shared" si="21"/>
        <v>77196.02</v>
      </c>
      <c r="L64" s="33">
        <f t="shared" si="21"/>
        <v>85830.96</v>
      </c>
    </row>
    <row r="66" spans="1:14" x14ac:dyDescent="0.3">
      <c r="B66" s="27" t="s">
        <v>85</v>
      </c>
      <c r="C66" s="28" t="b">
        <f>C64=C51</f>
        <v>1</v>
      </c>
      <c r="D66" s="28" t="b">
        <f t="shared" ref="D66:L66" si="22">D64=D51</f>
        <v>1</v>
      </c>
      <c r="E66" s="28" t="b">
        <f t="shared" si="22"/>
        <v>1</v>
      </c>
      <c r="F66" s="28" t="b">
        <f t="shared" si="22"/>
        <v>1</v>
      </c>
      <c r="G66" s="28" t="b">
        <f t="shared" si="22"/>
        <v>1</v>
      </c>
      <c r="H66" s="28" t="b">
        <f t="shared" si="22"/>
        <v>1</v>
      </c>
      <c r="I66" s="28" t="b">
        <f t="shared" si="22"/>
        <v>1</v>
      </c>
      <c r="J66" s="28" t="b">
        <f t="shared" si="22"/>
        <v>1</v>
      </c>
      <c r="K66" s="28" t="b">
        <f t="shared" si="22"/>
        <v>1</v>
      </c>
      <c r="L66" s="28" t="b">
        <f t="shared" si="22"/>
        <v>1</v>
      </c>
    </row>
    <row r="68" spans="1:14" x14ac:dyDescent="0.3">
      <c r="A68" t="s">
        <v>55</v>
      </c>
      <c r="B68" s="13" t="s">
        <v>86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1:14" x14ac:dyDescent="0.3">
      <c r="B69" s="2" t="s">
        <v>116</v>
      </c>
    </row>
    <row r="70" spans="1:14" x14ac:dyDescent="0.3">
      <c r="B70" t="s">
        <v>88</v>
      </c>
      <c r="C70" s="23">
        <f>IFERROR('Cash Flow Data'!E4,0)</f>
        <v>13172</v>
      </c>
      <c r="D70" s="23">
        <f>IFERROR('Cash Flow Data'!F4,0)</f>
        <v>14261</v>
      </c>
      <c r="E70" s="23">
        <f>IFERROR('Cash Flow Data'!G4,0)</f>
        <v>15154</v>
      </c>
      <c r="F70" s="23">
        <f>IFERROR('Cash Flow Data'!H4,0)</f>
        <v>16075</v>
      </c>
      <c r="G70" s="23">
        <f>IFERROR('Cash Flow Data'!I4,0)</f>
        <v>17433</v>
      </c>
      <c r="H70" s="23">
        <f>IFERROR('Cash Flow Data'!J4,0)</f>
        <v>18862</v>
      </c>
      <c r="I70" s="23">
        <f>IFERROR('Cash Flow Data'!K4,0)</f>
        <v>19416</v>
      </c>
      <c r="J70" s="23">
        <f>IFERROR('Cash Flow Data'!L4,0)</f>
        <v>17326</v>
      </c>
      <c r="K70" s="23">
        <f>IFERROR('Cash Flow Data'!M4,0)</f>
        <v>20857</v>
      </c>
      <c r="L70" s="23">
        <f>IFERROR('Cash Flow Data'!N4,0)</f>
        <v>25895</v>
      </c>
    </row>
    <row r="71" spans="1:14" x14ac:dyDescent="0.3">
      <c r="B71" t="s">
        <v>42</v>
      </c>
      <c r="C71" s="23">
        <f>IFERROR('Cash Flow Data'!E5,0)</f>
        <v>-1546</v>
      </c>
      <c r="D71" s="23">
        <f>IFERROR('Cash Flow Data'!F5,0)</f>
        <v>558</v>
      </c>
      <c r="E71" s="23">
        <f>IFERROR('Cash Flow Data'!G5,0)</f>
        <v>-207</v>
      </c>
      <c r="F71" s="23">
        <f>IFERROR('Cash Flow Data'!H5,0)</f>
        <v>-870</v>
      </c>
      <c r="G71" s="23">
        <f>IFERROR('Cash Flow Data'!I5,0)</f>
        <v>-964</v>
      </c>
      <c r="H71" s="23">
        <f>IFERROR('Cash Flow Data'!J5,0)</f>
        <v>-755</v>
      </c>
      <c r="I71" s="23">
        <f>IFERROR('Cash Flow Data'!K5,0)</f>
        <v>1411</v>
      </c>
      <c r="J71" s="23">
        <f>IFERROR('Cash Flow Data'!L5,0)</f>
        <v>-66</v>
      </c>
      <c r="K71" s="23">
        <f>IFERROR('Cash Flow Data'!M5,0)</f>
        <v>-732</v>
      </c>
      <c r="L71" s="23">
        <f>IFERROR('Cash Flow Data'!N5,0)</f>
        <v>-884</v>
      </c>
    </row>
    <row r="72" spans="1:14" x14ac:dyDescent="0.3">
      <c r="B72" t="s">
        <v>29</v>
      </c>
      <c r="C72" s="23">
        <f>IFERROR('Cash Flow Data'!E6,0)</f>
        <v>-755</v>
      </c>
      <c r="D72" s="23">
        <f>IFERROR('Cash Flow Data'!F6,0)</f>
        <v>-505</v>
      </c>
      <c r="E72" s="23">
        <f>IFERROR('Cash Flow Data'!G6,0)</f>
        <v>-693</v>
      </c>
      <c r="F72" s="23">
        <f>IFERROR('Cash Flow Data'!H6,0)</f>
        <v>593</v>
      </c>
      <c r="G72" s="23">
        <f>IFERROR('Cash Flow Data'!I6,0)</f>
        <v>602</v>
      </c>
      <c r="H72" s="23">
        <f>IFERROR('Cash Flow Data'!J6,0)</f>
        <v>-359</v>
      </c>
      <c r="I72" s="23">
        <f>IFERROR('Cash Flow Data'!K6,0)</f>
        <v>-508</v>
      </c>
      <c r="J72" s="23">
        <f>IFERROR('Cash Flow Data'!L6,0)</f>
        <v>-1460</v>
      </c>
      <c r="K72" s="23">
        <f>IFERROR('Cash Flow Data'!M6,0)</f>
        <v>-466</v>
      </c>
      <c r="L72" s="23">
        <f>IFERROR('Cash Flow Data'!N6,0)</f>
        <v>-941</v>
      </c>
    </row>
    <row r="73" spans="1:14" x14ac:dyDescent="0.3">
      <c r="B73" t="s">
        <v>89</v>
      </c>
      <c r="C73" s="23">
        <f>IFERROR('Cash Flow Data'!E7,0)</f>
        <v>456</v>
      </c>
      <c r="D73" s="23">
        <f>IFERROR('Cash Flow Data'!F7,0)</f>
        <v>-23</v>
      </c>
      <c r="E73" s="23">
        <f>IFERROR('Cash Flow Data'!G7,0)</f>
        <v>622</v>
      </c>
      <c r="F73" s="23">
        <f>IFERROR('Cash Flow Data'!H7,0)</f>
        <v>321</v>
      </c>
      <c r="G73" s="23">
        <f>IFERROR('Cash Flow Data'!I7,0)</f>
        <v>2098</v>
      </c>
      <c r="H73" s="23">
        <f>IFERROR('Cash Flow Data'!J7,0)</f>
        <v>639</v>
      </c>
      <c r="I73" s="23">
        <f>IFERROR('Cash Flow Data'!K7,0)</f>
        <v>-607</v>
      </c>
      <c r="J73" s="23">
        <f>IFERROR('Cash Flow Data'!L7,0)</f>
        <v>1112</v>
      </c>
      <c r="K73" s="23">
        <f>IFERROR('Cash Flow Data'!M7,0)</f>
        <v>1099</v>
      </c>
      <c r="L73" s="23">
        <f>IFERROR('Cash Flow Data'!N7,0)</f>
        <v>1058</v>
      </c>
    </row>
    <row r="74" spans="1:14" x14ac:dyDescent="0.3">
      <c r="B74" t="s">
        <v>90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</row>
    <row r="75" spans="1:14" x14ac:dyDescent="0.3">
      <c r="B75" t="s">
        <v>91</v>
      </c>
      <c r="C75" s="23">
        <f>IFERROR('Cash Flow Data'!E8,0)</f>
        <v>0</v>
      </c>
      <c r="D75" s="23">
        <f>IFERROR('Cash Flow Data'!F8,0)</f>
        <v>0</v>
      </c>
      <c r="E75" s="23">
        <f>IFERROR('Cash Flow Data'!G8,0)</f>
        <v>0</v>
      </c>
      <c r="F75" s="23">
        <f>IFERROR('Cash Flow Data'!H8,0)</f>
        <v>0</v>
      </c>
      <c r="G75" s="23">
        <f>IFERROR('Cash Flow Data'!I8,0)</f>
        <v>0</v>
      </c>
      <c r="H75" s="23">
        <f>IFERROR('Cash Flow Data'!J8,0)</f>
        <v>0</v>
      </c>
      <c r="I75" s="23">
        <f>IFERROR('Cash Flow Data'!K8,0)</f>
        <v>0</v>
      </c>
      <c r="J75" s="23">
        <f>IFERROR('Cash Flow Data'!L8,0)</f>
        <v>0</v>
      </c>
      <c r="K75" s="23">
        <f>IFERROR('Cash Flow Data'!M8,0)</f>
        <v>0</v>
      </c>
      <c r="L75" s="23">
        <f>IFERROR('Cash Flow Data'!N8,0)</f>
        <v>0</v>
      </c>
    </row>
    <row r="76" spans="1:14" x14ac:dyDescent="0.3">
      <c r="B76" t="s">
        <v>92</v>
      </c>
      <c r="C76" s="23">
        <f>IFERROR('Cash Flow Data'!E9,0)</f>
        <v>-1844</v>
      </c>
      <c r="D76" s="23">
        <f>IFERROR('Cash Flow Data'!F9,0)</f>
        <v>31</v>
      </c>
      <c r="E76" s="23">
        <f>IFERROR('Cash Flow Data'!G9,0)</f>
        <v>-277</v>
      </c>
      <c r="F76" s="23">
        <f>IFERROR('Cash Flow Data'!H9,0)</f>
        <v>44</v>
      </c>
      <c r="G76" s="23">
        <f>IFERROR('Cash Flow Data'!I9,0)</f>
        <v>1736</v>
      </c>
      <c r="H76" s="23">
        <f>IFERROR('Cash Flow Data'!J9,0)</f>
        <v>-476</v>
      </c>
      <c r="I76" s="23">
        <f>IFERROR('Cash Flow Data'!K9,0)</f>
        <v>296</v>
      </c>
      <c r="J76" s="23">
        <f>IFERROR('Cash Flow Data'!L9,0)</f>
        <v>-413</v>
      </c>
      <c r="K76" s="23">
        <f>IFERROR('Cash Flow Data'!M9,0)</f>
        <v>-100</v>
      </c>
      <c r="L76" s="23">
        <f>IFERROR('Cash Flow Data'!N9,0)</f>
        <v>-767</v>
      </c>
    </row>
    <row r="77" spans="1:14" x14ac:dyDescent="0.3">
      <c r="B77" t="s">
        <v>93</v>
      </c>
      <c r="C77" s="23">
        <f>IFERROR('Cash Flow Data'!E10,0)</f>
        <v>-3984</v>
      </c>
      <c r="D77" s="23">
        <f>IFERROR('Cash Flow Data'!F10,0)</f>
        <v>-4449</v>
      </c>
      <c r="E77" s="23">
        <f>IFERROR('Cash Flow Data'!G10,0)</f>
        <v>-5078</v>
      </c>
      <c r="F77" s="23">
        <f>IFERROR('Cash Flow Data'!H10,0)</f>
        <v>-5492</v>
      </c>
      <c r="G77" s="23">
        <f>IFERROR('Cash Flow Data'!I10,0)</f>
        <v>-6000</v>
      </c>
      <c r="H77" s="23">
        <f>IFERROR('Cash Flow Data'!J10,0)</f>
        <v>-5803</v>
      </c>
      <c r="I77" s="23">
        <f>IFERROR('Cash Flow Data'!K10,0)</f>
        <v>-5023</v>
      </c>
      <c r="J77" s="23">
        <f>IFERROR('Cash Flow Data'!L10,0)</f>
        <v>-4387</v>
      </c>
      <c r="K77" s="23">
        <f>IFERROR('Cash Flow Data'!M10,0)</f>
        <v>-4982</v>
      </c>
      <c r="L77" s="23">
        <f>IFERROR('Cash Flow Data'!N10,0)</f>
        <v>-6250</v>
      </c>
    </row>
    <row r="78" spans="1:14" x14ac:dyDescent="0.3">
      <c r="B78" s="38" t="s">
        <v>115</v>
      </c>
      <c r="C78" s="34">
        <f>SUM(C70:C77)</f>
        <v>5499</v>
      </c>
      <c r="D78" s="34">
        <f t="shared" ref="D78:L78" si="23">SUM(D70:D77)</f>
        <v>9873</v>
      </c>
      <c r="E78" s="34">
        <f t="shared" si="23"/>
        <v>9521</v>
      </c>
      <c r="F78" s="34">
        <f t="shared" si="23"/>
        <v>10671</v>
      </c>
      <c r="G78" s="34">
        <f t="shared" si="23"/>
        <v>14905</v>
      </c>
      <c r="H78" s="34">
        <f t="shared" si="23"/>
        <v>12108</v>
      </c>
      <c r="I78" s="34">
        <f t="shared" si="23"/>
        <v>14985</v>
      </c>
      <c r="J78" s="34">
        <f t="shared" si="23"/>
        <v>12112</v>
      </c>
      <c r="K78" s="34">
        <f t="shared" si="23"/>
        <v>15676</v>
      </c>
      <c r="L78" s="34">
        <f t="shared" si="23"/>
        <v>18111</v>
      </c>
    </row>
    <row r="80" spans="1:14" x14ac:dyDescent="0.3">
      <c r="B80" s="2" t="s">
        <v>118</v>
      </c>
      <c r="N80" s="2"/>
    </row>
    <row r="81" spans="2:12" x14ac:dyDescent="0.3">
      <c r="B81" t="s">
        <v>95</v>
      </c>
      <c r="C81" s="23">
        <f>IFERROR('Cash Flow Data'!E12,0)</f>
        <v>-2887</v>
      </c>
      <c r="D81" s="23">
        <f>IFERROR('Cash Flow Data'!F12,0)</f>
        <v>-3300</v>
      </c>
      <c r="E81" s="23">
        <f>IFERROR('Cash Flow Data'!G12,0)</f>
        <v>-2348</v>
      </c>
      <c r="F81" s="23">
        <f>IFERROR('Cash Flow Data'!H12,0)</f>
        <v>-3122</v>
      </c>
      <c r="G81" s="23">
        <f>IFERROR('Cash Flow Data'!I12,0)</f>
        <v>-2878</v>
      </c>
      <c r="H81" s="23">
        <f>IFERROR('Cash Flow Data'!J12,0)</f>
        <v>-3169</v>
      </c>
      <c r="I81" s="23">
        <f>IFERROR('Cash Flow Data'!K12,0)</f>
        <v>-2441</v>
      </c>
      <c r="J81" s="23">
        <f>IFERROR('Cash Flow Data'!L12,0)</f>
        <v>-1837</v>
      </c>
      <c r="K81" s="23">
        <f>IFERROR('Cash Flow Data'!M12,0)</f>
        <v>-2142</v>
      </c>
      <c r="L81" s="23">
        <f>IFERROR('Cash Flow Data'!N12,0)</f>
        <v>-2743</v>
      </c>
    </row>
    <row r="82" spans="2:12" x14ac:dyDescent="0.3">
      <c r="B82" t="s">
        <v>96</v>
      </c>
      <c r="C82" s="23">
        <f>IFERROR('Cash Flow Data'!E13,0)</f>
        <v>38</v>
      </c>
      <c r="D82" s="23">
        <f>IFERROR('Cash Flow Data'!F13,0)</f>
        <v>9</v>
      </c>
      <c r="E82" s="23">
        <f>IFERROR('Cash Flow Data'!G13,0)</f>
        <v>8</v>
      </c>
      <c r="F82" s="23">
        <f>IFERROR('Cash Flow Data'!H13,0)</f>
        <v>50</v>
      </c>
      <c r="G82" s="23">
        <f>IFERROR('Cash Flow Data'!I13,0)</f>
        <v>80</v>
      </c>
      <c r="H82" s="23">
        <f>IFERROR('Cash Flow Data'!J13,0)</f>
        <v>28</v>
      </c>
      <c r="I82" s="23">
        <f>IFERROR('Cash Flow Data'!K13,0)</f>
        <v>27</v>
      </c>
      <c r="J82" s="23">
        <f>IFERROR('Cash Flow Data'!L13,0)</f>
        <v>3</v>
      </c>
      <c r="K82" s="23">
        <f>IFERROR('Cash Flow Data'!M13,0)</f>
        <v>133</v>
      </c>
      <c r="L82" s="23">
        <f>IFERROR('Cash Flow Data'!N13,0)</f>
        <v>49</v>
      </c>
    </row>
    <row r="83" spans="2:12" x14ac:dyDescent="0.3">
      <c r="B83" t="s">
        <v>97</v>
      </c>
      <c r="C83" s="23">
        <f>IFERROR('Cash Flow Data'!E14,0)</f>
        <v>-94242</v>
      </c>
      <c r="D83" s="23">
        <f>IFERROR('Cash Flow Data'!F14,0)</f>
        <v>-98742</v>
      </c>
      <c r="E83" s="23">
        <f>IFERROR('Cash Flow Data'!G14,0)</f>
        <v>-154081</v>
      </c>
      <c r="F83" s="23">
        <f>IFERROR('Cash Flow Data'!H14,0)</f>
        <v>-85683</v>
      </c>
      <c r="G83" s="23">
        <f>IFERROR('Cash Flow Data'!I14,0)</f>
        <v>-98330</v>
      </c>
      <c r="H83" s="23">
        <f>IFERROR('Cash Flow Data'!J14,0)</f>
        <v>-94187</v>
      </c>
      <c r="I83" s="23">
        <f>IFERROR('Cash Flow Data'!K14,0)</f>
        <v>-79835</v>
      </c>
      <c r="J83" s="23">
        <f>IFERROR('Cash Flow Data'!L14,0)</f>
        <v>-57553</v>
      </c>
      <c r="K83" s="23">
        <f>IFERROR('Cash Flow Data'!M14,0)</f>
        <v>-69776</v>
      </c>
      <c r="L83" s="23">
        <f>IFERROR('Cash Flow Data'!N14,0)</f>
        <v>-80932</v>
      </c>
    </row>
    <row r="84" spans="2:12" x14ac:dyDescent="0.3">
      <c r="B84" t="s">
        <v>98</v>
      </c>
      <c r="C84" s="23">
        <f>IFERROR('Cash Flow Data'!E15,0)</f>
        <v>93293</v>
      </c>
      <c r="D84" s="23">
        <f>IFERROR('Cash Flow Data'!F15,0)</f>
        <v>99658</v>
      </c>
      <c r="E84" s="23">
        <f>IFERROR('Cash Flow Data'!G15,0)</f>
        <v>150651</v>
      </c>
      <c r="F84" s="23">
        <f>IFERROR('Cash Flow Data'!H15,0)</f>
        <v>81034</v>
      </c>
      <c r="G84" s="23">
        <f>IFERROR('Cash Flow Data'!I15,0)</f>
        <v>95017</v>
      </c>
      <c r="H84" s="23">
        <f>IFERROR('Cash Flow Data'!J15,0)</f>
        <v>92454</v>
      </c>
      <c r="I84" s="23">
        <f>IFERROR('Cash Flow Data'!K15,0)</f>
        <v>75835</v>
      </c>
      <c r="J84" s="23">
        <f>IFERROR('Cash Flow Data'!L15,0)</f>
        <v>62797</v>
      </c>
      <c r="K84" s="23">
        <f>IFERROR('Cash Flow Data'!M15,0)</f>
        <v>70992</v>
      </c>
      <c r="L84" s="23">
        <f>IFERROR('Cash Flow Data'!N15,0)</f>
        <v>77230</v>
      </c>
    </row>
    <row r="85" spans="2:12" x14ac:dyDescent="0.3">
      <c r="B85" t="s">
        <v>99</v>
      </c>
      <c r="C85" s="23">
        <f>IFERROR('Cash Flow Data'!E16,0)</f>
        <v>374</v>
      </c>
      <c r="D85" s="23">
        <f>IFERROR('Cash Flow Data'!F16,0)</f>
        <v>559</v>
      </c>
      <c r="E85" s="23">
        <f>IFERROR('Cash Flow Data'!G16,0)</f>
        <v>741</v>
      </c>
      <c r="F85" s="23">
        <f>IFERROR('Cash Flow Data'!H16,0)</f>
        <v>756</v>
      </c>
      <c r="G85" s="23">
        <f>IFERROR('Cash Flow Data'!I16,0)</f>
        <v>736</v>
      </c>
      <c r="H85" s="23">
        <f>IFERROR('Cash Flow Data'!J16,0)</f>
        <v>1184</v>
      </c>
      <c r="I85" s="23">
        <f>IFERROR('Cash Flow Data'!K16,0)</f>
        <v>1513</v>
      </c>
      <c r="J85" s="23">
        <f>IFERROR('Cash Flow Data'!L16,0)</f>
        <v>1275</v>
      </c>
      <c r="K85" s="23">
        <f>IFERROR('Cash Flow Data'!M16,0)</f>
        <v>1035</v>
      </c>
      <c r="L85" s="23">
        <f>IFERROR('Cash Flow Data'!N16,0)</f>
        <v>1324</v>
      </c>
    </row>
    <row r="86" spans="2:12" x14ac:dyDescent="0.3">
      <c r="B86" t="s">
        <v>100</v>
      </c>
      <c r="C86" s="23">
        <f>IFERROR('Cash Flow Data'!E17,0)</f>
        <v>192</v>
      </c>
      <c r="D86" s="23">
        <f>IFERROR('Cash Flow Data'!F17,0)</f>
        <v>268</v>
      </c>
      <c r="E86" s="23">
        <f>IFERROR('Cash Flow Data'!G17,0)</f>
        <v>64</v>
      </c>
      <c r="F86" s="23">
        <f>IFERROR('Cash Flow Data'!H17,0)</f>
        <v>4</v>
      </c>
      <c r="G86" s="23">
        <f>IFERROR('Cash Flow Data'!I17,0)</f>
        <v>13</v>
      </c>
      <c r="H86" s="23">
        <f>IFERROR('Cash Flow Data'!J17,0)</f>
        <v>13</v>
      </c>
      <c r="I86" s="23">
        <f>IFERROR('Cash Flow Data'!K17,0)</f>
        <v>17</v>
      </c>
      <c r="J86" s="23">
        <f>IFERROR('Cash Flow Data'!L17,0)</f>
        <v>7</v>
      </c>
      <c r="K86" s="23">
        <f>IFERROR('Cash Flow Data'!M17,0)</f>
        <v>16</v>
      </c>
      <c r="L86" s="23">
        <f>IFERROR('Cash Flow Data'!N17,0)</f>
        <v>19</v>
      </c>
    </row>
    <row r="87" spans="2:12" x14ac:dyDescent="0.3">
      <c r="B87" t="s">
        <v>101</v>
      </c>
      <c r="C87" s="23">
        <f>IFERROR('Cash Flow Data'!E18,0)</f>
        <v>0</v>
      </c>
      <c r="D87" s="23">
        <f>IFERROR('Cash Flow Data'!F18,0)</f>
        <v>0</v>
      </c>
      <c r="E87" s="23">
        <f>IFERROR('Cash Flow Data'!G18,0)</f>
        <v>-8</v>
      </c>
      <c r="F87" s="23">
        <f>IFERROR('Cash Flow Data'!H18,0)</f>
        <v>0</v>
      </c>
      <c r="G87" s="23">
        <f>IFERROR('Cash Flow Data'!I18,0)</f>
        <v>0</v>
      </c>
      <c r="H87" s="23">
        <f>IFERROR('Cash Flow Data'!J18,0)</f>
        <v>0</v>
      </c>
      <c r="I87" s="23">
        <f>IFERROR('Cash Flow Data'!K18,0)</f>
        <v>0</v>
      </c>
      <c r="J87" s="23">
        <f>IFERROR('Cash Flow Data'!L18,0)</f>
        <v>0</v>
      </c>
      <c r="K87" s="23">
        <f>IFERROR('Cash Flow Data'!M18,0)</f>
        <v>0</v>
      </c>
      <c r="L87" s="23">
        <f>IFERROR('Cash Flow Data'!N18,0)</f>
        <v>0</v>
      </c>
    </row>
    <row r="88" spans="2:12" x14ac:dyDescent="0.3">
      <c r="B88" t="s">
        <v>102</v>
      </c>
      <c r="C88" s="23">
        <f>IFERROR('Cash Flow Data'!E19,0)</f>
        <v>0</v>
      </c>
      <c r="D88" s="23">
        <f>IFERROR('Cash Flow Data'!F19,0)</f>
        <v>0</v>
      </c>
      <c r="E88" s="23">
        <f>IFERROR('Cash Flow Data'!G19,0)</f>
        <v>0</v>
      </c>
      <c r="F88" s="23">
        <f>IFERROR('Cash Flow Data'!H19,0)</f>
        <v>0</v>
      </c>
      <c r="G88" s="23">
        <f>IFERROR('Cash Flow Data'!I19,0)</f>
        <v>0</v>
      </c>
      <c r="H88" s="23">
        <f>IFERROR('Cash Flow Data'!J19,0)</f>
        <v>0</v>
      </c>
      <c r="I88" s="23">
        <f>IFERROR('Cash Flow Data'!K19,0)</f>
        <v>0</v>
      </c>
      <c r="J88" s="23">
        <f>IFERROR('Cash Flow Data'!L19,0)</f>
        <v>-2</v>
      </c>
      <c r="K88" s="23">
        <f>IFERROR('Cash Flow Data'!M19,0)</f>
        <v>-2</v>
      </c>
      <c r="L88" s="23">
        <f>IFERROR('Cash Flow Data'!N19,0)</f>
        <v>-2</v>
      </c>
    </row>
    <row r="89" spans="2:12" x14ac:dyDescent="0.3">
      <c r="B89" t="s">
        <v>103</v>
      </c>
      <c r="C89" s="23">
        <f>IFERROR('Cash Flow Data'!E20,0)</f>
        <v>0</v>
      </c>
      <c r="D89" s="23">
        <f>IFERROR('Cash Flow Data'!F20,0)</f>
        <v>0</v>
      </c>
      <c r="E89" s="23">
        <f>IFERROR('Cash Flow Data'!G20,0)</f>
        <v>0</v>
      </c>
      <c r="F89" s="23">
        <f>IFERROR('Cash Flow Data'!H20,0)</f>
        <v>129</v>
      </c>
      <c r="G89" s="23">
        <f>IFERROR('Cash Flow Data'!I20,0)</f>
        <v>18</v>
      </c>
      <c r="H89" s="23">
        <f>IFERROR('Cash Flow Data'!J20,0)</f>
        <v>18</v>
      </c>
      <c r="I89" s="23">
        <f>IFERROR('Cash Flow Data'!K20,0)</f>
        <v>0</v>
      </c>
      <c r="J89" s="23">
        <f>IFERROR('Cash Flow Data'!L20,0)</f>
        <v>0</v>
      </c>
      <c r="K89" s="23">
        <f>IFERROR('Cash Flow Data'!M20,0)</f>
        <v>0</v>
      </c>
      <c r="L89" s="23">
        <f>IFERROR('Cash Flow Data'!N20,0)</f>
        <v>56</v>
      </c>
    </row>
    <row r="90" spans="2:12" x14ac:dyDescent="0.3">
      <c r="B90" t="s">
        <v>104</v>
      </c>
      <c r="C90" s="23">
        <v>0</v>
      </c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</row>
    <row r="91" spans="2:12" x14ac:dyDescent="0.3">
      <c r="B91" t="s">
        <v>105</v>
      </c>
      <c r="C91" s="23">
        <v>0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</row>
    <row r="92" spans="2:12" x14ac:dyDescent="0.3">
      <c r="B92" t="s">
        <v>106</v>
      </c>
      <c r="C92" s="23">
        <f>IFERROR('Cash Flow Data'!E21,0)</f>
        <v>-21</v>
      </c>
      <c r="D92" s="23">
        <f>IFERROR('Cash Flow Data'!F21,0)</f>
        <v>-3728</v>
      </c>
      <c r="E92" s="23">
        <f>IFERROR('Cash Flow Data'!G21,0)</f>
        <v>1052</v>
      </c>
      <c r="F92" s="23">
        <f>IFERROR('Cash Flow Data'!H21,0)</f>
        <v>3579</v>
      </c>
      <c r="G92" s="23">
        <f>IFERROR('Cash Flow Data'!I21,0)</f>
        <v>-1769</v>
      </c>
      <c r="H92" s="23">
        <f>IFERROR('Cash Flow Data'!J21,0)</f>
        <v>-1887</v>
      </c>
      <c r="I92" s="23">
        <f>IFERROR('Cash Flow Data'!K21,0)</f>
        <v>-1290</v>
      </c>
      <c r="J92" s="23">
        <f>IFERROR('Cash Flow Data'!L21,0)</f>
        <v>1051</v>
      </c>
      <c r="K92" s="23">
        <f>IFERROR('Cash Flow Data'!M21,0)</f>
        <v>-2494</v>
      </c>
      <c r="L92" s="23">
        <f>IFERROR('Cash Flow Data'!N21,0)</f>
        <v>-733</v>
      </c>
    </row>
    <row r="93" spans="2:12" x14ac:dyDescent="0.3">
      <c r="B93" s="38" t="s">
        <v>117</v>
      </c>
      <c r="C93" s="34">
        <f>SUM(C81:C92)</f>
        <v>-3253</v>
      </c>
      <c r="D93" s="34">
        <f t="shared" ref="D93:L93" si="24">SUM(D81:D92)</f>
        <v>-5276</v>
      </c>
      <c r="E93" s="34">
        <f t="shared" si="24"/>
        <v>-3921</v>
      </c>
      <c r="F93" s="34">
        <f t="shared" si="24"/>
        <v>-3253</v>
      </c>
      <c r="G93" s="34">
        <f t="shared" si="24"/>
        <v>-7113</v>
      </c>
      <c r="H93" s="34">
        <f t="shared" si="24"/>
        <v>-5546</v>
      </c>
      <c r="I93" s="34">
        <f t="shared" si="24"/>
        <v>-6174</v>
      </c>
      <c r="J93" s="34">
        <f t="shared" si="24"/>
        <v>5741</v>
      </c>
      <c r="K93" s="34">
        <f t="shared" si="24"/>
        <v>-2238</v>
      </c>
      <c r="L93" s="34">
        <f t="shared" si="24"/>
        <v>-5732</v>
      </c>
    </row>
    <row r="95" spans="2:12" x14ac:dyDescent="0.3">
      <c r="B95" s="2" t="s">
        <v>119</v>
      </c>
    </row>
    <row r="96" spans="2:12" x14ac:dyDescent="0.3">
      <c r="B96" t="s">
        <v>108</v>
      </c>
      <c r="C96" s="23">
        <f>IFERROR('Cash Flow Data'!E24,0)</f>
        <v>691</v>
      </c>
      <c r="D96" s="23">
        <f>IFERROR('Cash Flow Data'!F24,0)</f>
        <v>979</v>
      </c>
      <c r="E96" s="23">
        <f>IFERROR('Cash Flow Data'!G24,0)</f>
        <v>532</v>
      </c>
      <c r="F96" s="23">
        <f>IFERROR('Cash Flow Data'!H24,0)</f>
        <v>1067</v>
      </c>
      <c r="G96" s="23">
        <f>IFERROR('Cash Flow Data'!I24,0)</f>
        <v>913</v>
      </c>
      <c r="H96" s="23">
        <f>IFERROR('Cash Flow Data'!J24,0)</f>
        <v>969</v>
      </c>
      <c r="I96" s="23">
        <f>IFERROR('Cash Flow Data'!K24,0)</f>
        <v>625</v>
      </c>
      <c r="J96" s="23">
        <f>IFERROR('Cash Flow Data'!L24,0)</f>
        <v>291</v>
      </c>
      <c r="K96" s="23">
        <f>IFERROR('Cash Flow Data'!M24,0)</f>
        <v>292</v>
      </c>
      <c r="L96" s="23">
        <f>IFERROR('Cash Flow Data'!N24,0)</f>
        <v>2477</v>
      </c>
    </row>
    <row r="97" spans="1:12" x14ac:dyDescent="0.3">
      <c r="B97" t="s">
        <v>109</v>
      </c>
      <c r="C97" s="23">
        <f>IFERROR('Cash Flow Data'!E25,0)</f>
        <v>156</v>
      </c>
      <c r="D97" s="23">
        <f>IFERROR('Cash Flow Data'!F25,0)</f>
        <v>7</v>
      </c>
      <c r="E97" s="23">
        <f>IFERROR('Cash Flow Data'!G25,0)</f>
        <v>0</v>
      </c>
      <c r="F97" s="23">
        <f>IFERROR('Cash Flow Data'!H25,0)</f>
        <v>0</v>
      </c>
      <c r="G97" s="23">
        <f>IFERROR('Cash Flow Data'!I25,0)</f>
        <v>11</v>
      </c>
      <c r="H97" s="23">
        <f>IFERROR('Cash Flow Data'!J25,0)</f>
        <v>0</v>
      </c>
      <c r="I97" s="23">
        <f>IFERROR('Cash Flow Data'!K25,0)</f>
        <v>0</v>
      </c>
      <c r="J97" s="23">
        <f>IFERROR('Cash Flow Data'!L25,0)</f>
        <v>0</v>
      </c>
      <c r="K97" s="23">
        <f>IFERROR('Cash Flow Data'!M25,0)</f>
        <v>0</v>
      </c>
      <c r="L97" s="23">
        <f>IFERROR('Cash Flow Data'!N25,0)</f>
        <v>0</v>
      </c>
    </row>
    <row r="98" spans="1:12" x14ac:dyDescent="0.3">
      <c r="B98" t="s">
        <v>110</v>
      </c>
      <c r="C98" s="23">
        <f>IFERROR('Cash Flow Data'!E26,0)</f>
        <v>-15</v>
      </c>
      <c r="D98" s="23">
        <f>IFERROR('Cash Flow Data'!F26,0)</f>
        <v>-20</v>
      </c>
      <c r="E98" s="23">
        <f>IFERROR('Cash Flow Data'!G26,0)</f>
        <v>-13</v>
      </c>
      <c r="F98" s="23">
        <f>IFERROR('Cash Flow Data'!H26,0)</f>
        <v>-13</v>
      </c>
      <c r="G98" s="23">
        <f>IFERROR('Cash Flow Data'!I26,0)</f>
        <v>-8</v>
      </c>
      <c r="H98" s="23">
        <f>IFERROR('Cash Flow Data'!J26,0)</f>
        <v>-18</v>
      </c>
      <c r="I98" s="23">
        <f>IFERROR('Cash Flow Data'!K26,0)</f>
        <v>-3</v>
      </c>
      <c r="J98" s="23">
        <f>IFERROR('Cash Flow Data'!L26,0)</f>
        <v>-2</v>
      </c>
      <c r="K98" s="23">
        <f>IFERROR('Cash Flow Data'!M26,0)</f>
        <v>-1</v>
      </c>
      <c r="L98" s="23">
        <f>IFERROR('Cash Flow Data'!N26,0)</f>
        <v>-1</v>
      </c>
    </row>
    <row r="99" spans="1:12" x14ac:dyDescent="0.3">
      <c r="B99" t="s">
        <v>111</v>
      </c>
      <c r="C99" s="23">
        <f>IFERROR('Cash Flow Data'!E27,0)</f>
        <v>-48</v>
      </c>
      <c r="D99" s="23">
        <f>IFERROR('Cash Flow Data'!F27,0)</f>
        <v>-16</v>
      </c>
      <c r="E99" s="23">
        <f>IFERROR('Cash Flow Data'!G27,0)</f>
        <v>-28</v>
      </c>
      <c r="F99" s="23">
        <f>IFERROR('Cash Flow Data'!H27,0)</f>
        <v>-25</v>
      </c>
      <c r="G99" s="23">
        <f>IFERROR('Cash Flow Data'!I27,0)</f>
        <v>-49</v>
      </c>
      <c r="H99" s="23">
        <f>IFERROR('Cash Flow Data'!J27,0)</f>
        <v>-98</v>
      </c>
      <c r="I99" s="23">
        <f>IFERROR('Cash Flow Data'!K27,0)</f>
        <v>-44</v>
      </c>
      <c r="J99" s="23">
        <f>IFERROR('Cash Flow Data'!L27,0)</f>
        <v>-41</v>
      </c>
      <c r="K99" s="23">
        <f>IFERROR('Cash Flow Data'!M27,0)</f>
        <v>-40</v>
      </c>
      <c r="L99" s="23">
        <f>IFERROR('Cash Flow Data'!N27,0)</f>
        <v>-41</v>
      </c>
    </row>
    <row r="100" spans="1:12" x14ac:dyDescent="0.3">
      <c r="B100" t="s">
        <v>112</v>
      </c>
      <c r="C100" s="23">
        <f>IFERROR('Cash Flow Data'!E28,0)</f>
        <v>-4239</v>
      </c>
      <c r="D100" s="23">
        <f>IFERROR('Cash Flow Data'!F28,0)</f>
        <v>-4876</v>
      </c>
      <c r="E100" s="23">
        <f>IFERROR('Cash Flow Data'!G28,0)</f>
        <v>-5133</v>
      </c>
      <c r="F100" s="23">
        <f>IFERROR('Cash Flow Data'!H28,0)</f>
        <v>-6994</v>
      </c>
      <c r="G100" s="23">
        <f>IFERROR('Cash Flow Data'!I28,0)</f>
        <v>-5952</v>
      </c>
      <c r="H100" s="23">
        <f>IFERROR('Cash Flow Data'!J28,0)</f>
        <v>-6519</v>
      </c>
      <c r="I100" s="23">
        <f>IFERROR('Cash Flow Data'!K28,0)</f>
        <v>-7302</v>
      </c>
      <c r="J100" s="23">
        <f>IFERROR('Cash Flow Data'!L28,0)</f>
        <v>-18881</v>
      </c>
      <c r="K100" s="23">
        <f>IFERROR('Cash Flow Data'!M28,0)</f>
        <v>-13788</v>
      </c>
      <c r="L100" s="23">
        <f>IFERROR('Cash Flow Data'!N28,0)</f>
        <v>-15418</v>
      </c>
    </row>
    <row r="101" spans="1:12" x14ac:dyDescent="0.3">
      <c r="B101" t="s">
        <v>113</v>
      </c>
      <c r="C101" s="23">
        <f>IFERROR('Cash Flow Data'!E29,0)</f>
        <v>0</v>
      </c>
      <c r="D101" s="23">
        <f>IFERROR('Cash Flow Data'!F29,0)</f>
        <v>0</v>
      </c>
      <c r="E101" s="23">
        <f>IFERROR('Cash Flow Data'!G29,0)</f>
        <v>0</v>
      </c>
      <c r="F101" s="23">
        <f>IFERROR('Cash Flow Data'!H29,0)</f>
        <v>0</v>
      </c>
      <c r="G101" s="23">
        <f>IFERROR('Cash Flow Data'!I29,0)</f>
        <v>0</v>
      </c>
      <c r="H101" s="23">
        <f>IFERROR('Cash Flow Data'!J29,0)</f>
        <v>0</v>
      </c>
      <c r="I101" s="23">
        <f>IFERROR('Cash Flow Data'!K29,0)</f>
        <v>-49</v>
      </c>
      <c r="J101" s="23">
        <f>IFERROR('Cash Flow Data'!L29,0)</f>
        <v>-55</v>
      </c>
      <c r="K101" s="23">
        <f>IFERROR('Cash Flow Data'!M29,0)</f>
        <v>-59</v>
      </c>
      <c r="L101" s="23">
        <f>IFERROR('Cash Flow Data'!N29,0)</f>
        <v>-59</v>
      </c>
    </row>
    <row r="102" spans="1:12" x14ac:dyDescent="0.3">
      <c r="B102" t="s">
        <v>114</v>
      </c>
      <c r="C102" s="23">
        <f>IFERROR('Cash Flow Data'!E30,0)</f>
        <v>-667</v>
      </c>
      <c r="D102" s="23">
        <f>IFERROR('Cash Flow Data'!F30,0)</f>
        <v>-734</v>
      </c>
      <c r="E102" s="23">
        <f>IFERROR('Cash Flow Data'!G30,0)</f>
        <v>-971</v>
      </c>
      <c r="F102" s="23">
        <f>IFERROR('Cash Flow Data'!H30,0)</f>
        <v>-1335</v>
      </c>
      <c r="G102" s="23">
        <f>IFERROR('Cash Flow Data'!I30,0)</f>
        <v>-1136</v>
      </c>
      <c r="H102" s="23">
        <f>IFERROR('Cash Flow Data'!J30,0)</f>
        <v>-1203</v>
      </c>
      <c r="I102" s="23">
        <f>IFERROR('Cash Flow Data'!K30,0)</f>
        <v>-1409</v>
      </c>
      <c r="J102" s="23">
        <f>IFERROR('Cash Flow Data'!L30,0)</f>
        <v>55</v>
      </c>
      <c r="K102" s="23">
        <f>IFERROR('Cash Flow Data'!M30,0)</f>
        <v>15</v>
      </c>
      <c r="L102" s="23">
        <f>IFERROR('Cash Flow Data'!N30,0)</f>
        <v>35</v>
      </c>
    </row>
    <row r="103" spans="1:12" x14ac:dyDescent="0.3">
      <c r="B103" s="38" t="s">
        <v>120</v>
      </c>
      <c r="C103" s="34">
        <f>SUM(C96:C102)</f>
        <v>-4122</v>
      </c>
      <c r="D103" s="34">
        <f t="shared" ref="D103:L103" si="25">SUM(D96:D102)</f>
        <v>-4660</v>
      </c>
      <c r="E103" s="34">
        <f t="shared" si="25"/>
        <v>-5613</v>
      </c>
      <c r="F103" s="34">
        <f t="shared" si="25"/>
        <v>-7300</v>
      </c>
      <c r="G103" s="34">
        <f t="shared" si="25"/>
        <v>-6221</v>
      </c>
      <c r="H103" s="34">
        <f t="shared" si="25"/>
        <v>-6869</v>
      </c>
      <c r="I103" s="34">
        <f t="shared" si="25"/>
        <v>-8182</v>
      </c>
      <c r="J103" s="34">
        <f t="shared" si="25"/>
        <v>-18633</v>
      </c>
      <c r="K103" s="34">
        <f t="shared" si="25"/>
        <v>-13581</v>
      </c>
      <c r="L103" s="34">
        <f t="shared" si="25"/>
        <v>-13007</v>
      </c>
    </row>
    <row r="104" spans="1:12" x14ac:dyDescent="0.3">
      <c r="B104" s="2"/>
      <c r="C104" s="31"/>
      <c r="D104" s="31"/>
      <c r="E104" s="31"/>
      <c r="F104" s="31"/>
      <c r="G104" s="31"/>
      <c r="H104" s="31"/>
      <c r="I104" s="31"/>
      <c r="J104" s="31"/>
      <c r="K104" s="31"/>
      <c r="L104" s="31"/>
    </row>
    <row r="105" spans="1:12" ht="15" thickBot="1" x14ac:dyDescent="0.35">
      <c r="B105" s="39" t="s">
        <v>20</v>
      </c>
      <c r="C105" s="40">
        <f>C78+C93+C103</f>
        <v>-1876</v>
      </c>
      <c r="D105" s="40">
        <f t="shared" ref="D105:L105" si="26">D78+D93+D103</f>
        <v>-63</v>
      </c>
      <c r="E105" s="40">
        <f t="shared" si="26"/>
        <v>-13</v>
      </c>
      <c r="F105" s="40">
        <f t="shared" si="26"/>
        <v>118</v>
      </c>
      <c r="G105" s="40">
        <f t="shared" si="26"/>
        <v>1571</v>
      </c>
      <c r="H105" s="40">
        <f t="shared" si="26"/>
        <v>-307</v>
      </c>
      <c r="I105" s="40">
        <f t="shared" si="26"/>
        <v>629</v>
      </c>
      <c r="J105" s="40">
        <f t="shared" si="26"/>
        <v>-780</v>
      </c>
      <c r="K105" s="40">
        <f t="shared" si="26"/>
        <v>-143</v>
      </c>
      <c r="L105" s="40">
        <f t="shared" si="26"/>
        <v>-628</v>
      </c>
    </row>
    <row r="106" spans="1:12" ht="15" thickTop="1" x14ac:dyDescent="0.3"/>
    <row r="107" spans="1:12" x14ac:dyDescent="0.3">
      <c r="A107" t="s">
        <v>55</v>
      </c>
      <c r="B107" s="26" t="s">
        <v>151</v>
      </c>
    </row>
    <row r="108" spans="1:12" x14ac:dyDescent="0.3">
      <c r="B108" t="s">
        <v>115</v>
      </c>
      <c r="C108" s="23">
        <f>'Data Sheet'!B82</f>
        <v>7343.58</v>
      </c>
      <c r="D108" s="23">
        <f>'Data Sheet'!C82</f>
        <v>9843.2000000000007</v>
      </c>
      <c r="E108" s="23">
        <f>'Data Sheet'!D82</f>
        <v>9799.0400000000009</v>
      </c>
      <c r="F108" s="23">
        <f>'Data Sheet'!E82</f>
        <v>10627.31</v>
      </c>
      <c r="G108" s="23">
        <f>'Data Sheet'!F82</f>
        <v>13169.4</v>
      </c>
      <c r="H108" s="23">
        <f>'Data Sheet'!G82</f>
        <v>12583.41</v>
      </c>
      <c r="I108" s="23">
        <f>'Data Sheet'!H82</f>
        <v>14689.66</v>
      </c>
      <c r="J108" s="23">
        <f>'Data Sheet'!I82</f>
        <v>12526.97</v>
      </c>
      <c r="K108" s="23">
        <f>'Data Sheet'!J82</f>
        <v>15775.51</v>
      </c>
      <c r="L108" s="23">
        <f>'Data Sheet'!K82</f>
        <v>18877.55</v>
      </c>
    </row>
    <row r="109" spans="1:12" x14ac:dyDescent="0.3">
      <c r="B109" t="s">
        <v>117</v>
      </c>
      <c r="C109" s="23">
        <f>'Data Sheet'!B83</f>
        <v>-3254.08</v>
      </c>
      <c r="D109" s="23">
        <f>'Data Sheet'!C83</f>
        <v>-5275.43</v>
      </c>
      <c r="E109" s="23">
        <f>'Data Sheet'!D83</f>
        <v>-3920.73</v>
      </c>
      <c r="F109" s="23">
        <f>'Data Sheet'!E83</f>
        <v>-3250.93</v>
      </c>
      <c r="G109" s="23">
        <f>'Data Sheet'!F83</f>
        <v>-7113.89</v>
      </c>
      <c r="H109" s="23">
        <f>'Data Sheet'!G83</f>
        <v>-5545.68</v>
      </c>
      <c r="I109" s="23">
        <f>'Data Sheet'!H83</f>
        <v>-6174.02</v>
      </c>
      <c r="J109" s="23">
        <f>'Data Sheet'!I83</f>
        <v>5739.98</v>
      </c>
      <c r="K109" s="23">
        <f>'Data Sheet'!J83</f>
        <v>-2238.4899999999998</v>
      </c>
      <c r="L109" s="23">
        <f>'Data Sheet'!K83</f>
        <v>-5732.29</v>
      </c>
    </row>
    <row r="110" spans="1:12" x14ac:dyDescent="0.3">
      <c r="B110" t="s">
        <v>120</v>
      </c>
      <c r="C110" s="23">
        <f>'Data Sheet'!B84</f>
        <v>-4121.54</v>
      </c>
      <c r="D110" s="23">
        <f>'Data Sheet'!C84</f>
        <v>-4661.03</v>
      </c>
      <c r="E110" s="23">
        <f>'Data Sheet'!D84</f>
        <v>-5612.52</v>
      </c>
      <c r="F110" s="23">
        <f>'Data Sheet'!E84</f>
        <v>-7301.03</v>
      </c>
      <c r="G110" s="23">
        <f>'Data Sheet'!F84</f>
        <v>-6221.13</v>
      </c>
      <c r="H110" s="23">
        <f>'Data Sheet'!G84</f>
        <v>-6868.64</v>
      </c>
      <c r="I110" s="23">
        <f>'Data Sheet'!H84</f>
        <v>-8181.48</v>
      </c>
      <c r="J110" s="23">
        <f>'Data Sheet'!I84</f>
        <v>-18633.830000000002</v>
      </c>
      <c r="K110" s="23">
        <f>'Data Sheet'!J84</f>
        <v>-13580.5</v>
      </c>
      <c r="L110" s="23">
        <f>'Data Sheet'!K84</f>
        <v>-13006.03</v>
      </c>
    </row>
    <row r="111" spans="1:12" x14ac:dyDescent="0.3">
      <c r="B111" s="26" t="s">
        <v>20</v>
      </c>
      <c r="C111" s="31">
        <f>'Data Sheet'!B85</f>
        <v>-32.04</v>
      </c>
      <c r="D111" s="31">
        <f>'Data Sheet'!C85</f>
        <v>-93.26</v>
      </c>
      <c r="E111" s="31">
        <f>'Data Sheet'!D85</f>
        <v>265.79000000000002</v>
      </c>
      <c r="F111" s="31">
        <f>'Data Sheet'!E85</f>
        <v>75.349999999999994</v>
      </c>
      <c r="G111" s="31">
        <f>'Data Sheet'!F85</f>
        <v>-165.62</v>
      </c>
      <c r="H111" s="31">
        <f>'Data Sheet'!G85</f>
        <v>169.09</v>
      </c>
      <c r="I111" s="31">
        <f>'Data Sheet'!H85</f>
        <v>334.16</v>
      </c>
      <c r="J111" s="31">
        <f>'Data Sheet'!I85</f>
        <v>-366.88</v>
      </c>
      <c r="K111" s="31">
        <f>'Data Sheet'!J85</f>
        <v>-43.48</v>
      </c>
      <c r="L111" s="31">
        <f>'Data Sheet'!K85</f>
        <v>139.22999999999999</v>
      </c>
    </row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1063-4F85-4EBB-8BD5-735965001F69}">
  <dimension ref="B1:O41"/>
  <sheetViews>
    <sheetView showGridLines="0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2" customWidth="1"/>
    <col min="2" max="2" width="30.77734375" style="8" customWidth="1"/>
    <col min="3" max="3" width="11.88671875" style="17" customWidth="1"/>
    <col min="4" max="12" width="11.88671875" customWidth="1"/>
    <col min="13" max="13" width="13.21875" customWidth="1"/>
    <col min="14" max="14" width="10.88671875" customWidth="1"/>
    <col min="15" max="15" width="11.109375" customWidth="1"/>
  </cols>
  <sheetData>
    <row r="1" spans="2:15" x14ac:dyDescent="0.3">
      <c r="B1"/>
      <c r="C1"/>
    </row>
    <row r="2" spans="2:15" x14ac:dyDescent="0.3">
      <c r="B2" s="70" t="str">
        <f>"Ratio Analysis- "&amp;'Data Sheet'!B1</f>
        <v>Ratio Analysis- ITC LTD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2:15" x14ac:dyDescent="0.3">
      <c r="B3" s="11" t="s">
        <v>54</v>
      </c>
      <c r="C3" s="42">
        <f>'Data Sheet'!B16</f>
        <v>41729</v>
      </c>
      <c r="D3" s="42">
        <f>'Data Sheet'!C16</f>
        <v>42094</v>
      </c>
      <c r="E3" s="42">
        <f>'Data Sheet'!D16</f>
        <v>42460</v>
      </c>
      <c r="F3" s="42">
        <f>'Data Sheet'!E16</f>
        <v>42825</v>
      </c>
      <c r="G3" s="42">
        <f>'Data Sheet'!F16</f>
        <v>43190</v>
      </c>
      <c r="H3" s="42">
        <f>'Data Sheet'!G16</f>
        <v>43555</v>
      </c>
      <c r="I3" s="42">
        <f>'Data Sheet'!H16</f>
        <v>43921</v>
      </c>
      <c r="J3" s="42">
        <f>'Data Sheet'!I16</f>
        <v>44286</v>
      </c>
      <c r="K3" s="42">
        <f>'Data Sheet'!J16</f>
        <v>44651</v>
      </c>
      <c r="L3" s="42">
        <f>'Data Sheet'!K16</f>
        <v>45016</v>
      </c>
      <c r="M3" s="41" t="s">
        <v>121</v>
      </c>
      <c r="N3" s="41" t="s">
        <v>122</v>
      </c>
      <c r="O3" s="41" t="s">
        <v>123</v>
      </c>
    </row>
    <row r="4" spans="2:15" x14ac:dyDescent="0.3">
      <c r="B4"/>
      <c r="C4"/>
    </row>
    <row r="5" spans="2:15" x14ac:dyDescent="0.3">
      <c r="B5" s="48" t="s">
        <v>9</v>
      </c>
      <c r="C5" s="49" t="str">
        <f>IFERROR('Historical FS'!C7,0)</f>
        <v>NA</v>
      </c>
      <c r="D5" s="50">
        <f>IFERROR('Historical FS'!D7,0)</f>
        <v>9.9435711851920461E-2</v>
      </c>
      <c r="E5" s="50">
        <f>IFERROR('Historical FS'!E7,0)</f>
        <v>9.6593902437451806E-3</v>
      </c>
      <c r="F5" s="50">
        <f>IFERROR('Historical FS'!F7,0)</f>
        <v>9.1230120355888067E-2</v>
      </c>
      <c r="G5" s="50">
        <f>IFERROR('Historical FS'!G7,0)</f>
        <v>1.5931218960147486E-2</v>
      </c>
      <c r="H5" s="50">
        <f>IFERROR('Historical FS'!H7,0)</f>
        <v>0.11256062863673999</v>
      </c>
      <c r="I5" s="50">
        <f>IFERROR('Historical FS'!I7,0)</f>
        <v>2.1682439110972673E-2</v>
      </c>
      <c r="J5" s="50">
        <f>IFERROR('Historical FS'!J7,0)</f>
        <v>-2.6372963308678443E-3</v>
      </c>
      <c r="K5" s="50">
        <f>IFERROR('Historical FS'!K7,0)</f>
        <v>0.23117497962237188</v>
      </c>
      <c r="L5" s="50">
        <f>IFERROR('Historical FS'!L7,0)</f>
        <v>0.1694215175842706</v>
      </c>
      <c r="M5" s="51"/>
      <c r="N5" s="50">
        <f>IFERROR(AVERAGE(D5:L5),0)</f>
        <v>8.3162078892798724E-2</v>
      </c>
      <c r="O5" s="50">
        <f>IFERROR(MEDIAN(D5:L5),0)</f>
        <v>9.1230120355888067E-2</v>
      </c>
    </row>
    <row r="6" spans="2:15" x14ac:dyDescent="0.3">
      <c r="B6" s="8" t="s">
        <v>124</v>
      </c>
      <c r="C6" s="17" t="s">
        <v>72</v>
      </c>
      <c r="D6" s="52">
        <f>IFERROR('Historical FS'!D18/'Historical FS'!C18-1,0)</f>
        <v>8.9581724630922732E-2</v>
      </c>
      <c r="E6" s="52">
        <f>IFERROR('Historical FS'!E18/'Historical FS'!D18-1,0)</f>
        <v>1.96377674959054E-2</v>
      </c>
      <c r="F6" s="52">
        <f>IFERROR('Historical FS'!F18/'Historical FS'!E18-1,0)</f>
        <v>6.4550847848362514E-2</v>
      </c>
      <c r="G6" s="52">
        <f>IFERROR('Historical FS'!G18/'Historical FS'!F18-1,0)</f>
        <v>6.7945267820377131E-2</v>
      </c>
      <c r="H6" s="52">
        <f>IFERROR('Historical FS'!H18/'Historical FS'!G18-1,0)</f>
        <v>0.12207796452790087</v>
      </c>
      <c r="I6" s="52">
        <f>IFERROR('Historical FS'!I18/'Historical FS'!H18-1,0)</f>
        <v>4.34877833395102E-2</v>
      </c>
      <c r="J6" s="52">
        <f>IFERROR('Historical FS'!J18/'Historical FS'!I18-1,0)</f>
        <v>-0.11780470379258412</v>
      </c>
      <c r="K6" s="52">
        <f>IFERROR('Historical FS'!K18/'Historical FS'!J18-1,0)</f>
        <v>0.20852129356487437</v>
      </c>
      <c r="L6" s="52">
        <f>IFERROR('Historical FS'!L18/'Historical FS'!K18-1,0)</f>
        <v>0.24637894792987503</v>
      </c>
      <c r="N6" s="52">
        <f t="shared" ref="N6:N9" si="0">IFERROR(AVERAGE(D6:L6),0)</f>
        <v>8.2708543707238236E-2</v>
      </c>
      <c r="O6" s="52">
        <f t="shared" ref="O6:O9" si="1">IFERROR(MEDIAN(D6:L6),0)</f>
        <v>6.7945267820377131E-2</v>
      </c>
    </row>
    <row r="7" spans="2:15" x14ac:dyDescent="0.3">
      <c r="B7" s="8" t="s">
        <v>125</v>
      </c>
      <c r="C7" s="17" t="str">
        <f>C6</f>
        <v>NA</v>
      </c>
      <c r="D7" s="52">
        <f>IFERROR('Historical FS'!D27/'Historical FS'!C27-1,0)</f>
        <v>8.6621418010046858E-2</v>
      </c>
      <c r="E7" s="52">
        <f>IFERROR('Historical FS'!E27/'Historical FS'!D27-1,0)</f>
        <v>1.852322827750541E-2</v>
      </c>
      <c r="F7" s="52">
        <f>IFERROR('Historical FS'!F27/'Historical FS'!E27-1,0)</f>
        <v>6.6666616826007274E-2</v>
      </c>
      <c r="G7" s="52">
        <f>IFERROR('Historical FS'!G27/'Historical FS'!F27-1,0)</f>
        <v>6.3192429888790924E-2</v>
      </c>
      <c r="H7" s="52">
        <f>IFERROR('Historical FS'!H27/'Historical FS'!G27-1,0)</f>
        <v>0.125258251863962</v>
      </c>
      <c r="I7" s="52">
        <f>IFERROR('Historical FS'!I27/'Historical FS'!H27-1,0)</f>
        <v>3.2096654945873881E-2</v>
      </c>
      <c r="J7" s="52">
        <f>IFERROR('Historical FS'!J27/'Historical FS'!I27-1,0)</f>
        <v>-0.12805801132412842</v>
      </c>
      <c r="K7" s="52">
        <f>IFERROR('Historical FS'!K27/'Historical FS'!J27-1,0)</f>
        <v>0.22586291974205142</v>
      </c>
      <c r="L7" s="52">
        <f>IFERROR('Historical FS'!L27/'Historical FS'!K27-1,0)</f>
        <v>0.26481844854825254</v>
      </c>
      <c r="N7" s="52">
        <f t="shared" si="0"/>
        <v>8.3886884086484648E-2</v>
      </c>
      <c r="O7" s="52">
        <f t="shared" si="1"/>
        <v>6.6666616826007274E-2</v>
      </c>
    </row>
    <row r="8" spans="2:15" x14ac:dyDescent="0.3">
      <c r="B8" s="8" t="s">
        <v>126</v>
      </c>
      <c r="C8" s="17" t="str">
        <f t="shared" ref="C8:C9" si="2">C7</f>
        <v>NA</v>
      </c>
      <c r="D8" s="52">
        <f>IFERROR('Historical FS'!D33/'Historical FS'!C33-1,0)</f>
        <v>6.3726809622075997E-2</v>
      </c>
      <c r="E8" s="52">
        <f>IFERROR('Historical FS'!E33/'Historical FS'!D33-1,0)</f>
        <v>-6.0744258623194769E-2</v>
      </c>
      <c r="F8" s="52">
        <f>IFERROR('Historical FS'!F33/'Historical FS'!E33-1,0)</f>
        <v>8.7412303950609838E-2</v>
      </c>
      <c r="G8" s="52">
        <f>IFERROR('Historical FS'!G33/'Historical FS'!F33-1,0)</f>
        <v>6.127933383800177E-2</v>
      </c>
      <c r="H8" s="52">
        <f>IFERROR('Historical FS'!H33/'Historical FS'!G33-1,0)</f>
        <v>0.16239177682167782</v>
      </c>
      <c r="I8" s="52">
        <f>IFERROR('Historical FS'!I33/'Historical FS'!H33-1,0)</f>
        <v>0.22500199898470163</v>
      </c>
      <c r="J8" s="52">
        <f>IFERROR('Historical FS'!J33/'Historical FS'!I33-1,0)</f>
        <v>-0.17984419519318484</v>
      </c>
      <c r="K8" s="52">
        <f>IFERROR('Historical FS'!K33/'Historical FS'!J33-1,0)</f>
        <v>0.25795836175137099</v>
      </c>
      <c r="L8" s="52">
        <f>IFERROR('Historical FS'!L33/'Historical FS'!K33-1,0)</f>
        <v>0.27849303449244922</v>
      </c>
      <c r="N8" s="52">
        <f t="shared" si="0"/>
        <v>9.9519462849389742E-2</v>
      </c>
      <c r="O8" s="52">
        <f t="shared" si="1"/>
        <v>8.7412303950609838E-2</v>
      </c>
    </row>
    <row r="9" spans="2:15" x14ac:dyDescent="0.3">
      <c r="B9" s="53" t="s">
        <v>127</v>
      </c>
      <c r="C9" s="54" t="str">
        <f t="shared" si="2"/>
        <v>NA</v>
      </c>
      <c r="D9" s="55">
        <f>IFERROR('Historical FS'!D41/'Historical FS'!C41-1,0)</f>
        <v>4.1662854623938594E-2</v>
      </c>
      <c r="E9" s="55">
        <f>IFERROR('Historical FS'!E41/'Historical FS'!D41-1,0)</f>
        <v>0.36000497702119949</v>
      </c>
      <c r="F9" s="55">
        <f>IFERROR('Historical FS'!F41/'Historical FS'!E41-1,0)</f>
        <v>-0.16176397951050281</v>
      </c>
      <c r="G9" s="55">
        <f>IFERROR('Historical FS'!G41/'Historical FS'!F41-1,0)</f>
        <v>8.4208810537972134E-2</v>
      </c>
      <c r="H9" s="55">
        <f>IFERROR('Historical FS'!H41/'Historical FS'!G41-1,0)</f>
        <v>0.11650644574362401</v>
      </c>
      <c r="I9" s="55">
        <f>IFERROR('Historical FS'!I41/'Historical FS'!H41-1,0)</f>
        <v>0.76521571469920979</v>
      </c>
      <c r="J9" s="55">
        <f>IFERROR('Historical FS'!J41/'Historical FS'!I41-1,0)</f>
        <v>5.9113555156941944E-2</v>
      </c>
      <c r="K9" s="55">
        <f>IFERROR('Historical FS'!K41/'Historical FS'!J41-1,0)</f>
        <v>6.9767819288815591E-2</v>
      </c>
      <c r="L9" s="55">
        <f>IFERROR('Historical FS'!L41/'Historical FS'!K41-1,0)</f>
        <v>0.34782561142550716</v>
      </c>
      <c r="M9" s="56"/>
      <c r="N9" s="55">
        <f t="shared" si="0"/>
        <v>0.18694908988741177</v>
      </c>
      <c r="O9" s="55">
        <f t="shared" si="1"/>
        <v>8.4208810537972134E-2</v>
      </c>
    </row>
    <row r="11" spans="2:15" x14ac:dyDescent="0.3">
      <c r="B11" s="48" t="s">
        <v>128</v>
      </c>
      <c r="C11" s="57">
        <f>IFERROR('Historical FS'!C13,0)</f>
        <v>0.49626569437918244</v>
      </c>
      <c r="D11" s="57">
        <f>IFERROR('Historical FS'!D13,0)</f>
        <v>0.4927917170632054</v>
      </c>
      <c r="E11" s="57">
        <f>IFERROR('Historical FS'!E13,0)</f>
        <v>0.51105095159483671</v>
      </c>
      <c r="F11" s="57">
        <f>IFERROR('Historical FS'!F13,0)</f>
        <v>0.48678158231932583</v>
      </c>
      <c r="G11" s="57">
        <f>IFERROR('Historical FS'!G13,0)</f>
        <v>0.49440653788101624</v>
      </c>
      <c r="H11" s="57">
        <f>IFERROR('Historical FS'!H13,0)</f>
        <v>0.49904508893126504</v>
      </c>
      <c r="I11" s="57">
        <f>IFERROR('Historical FS'!I13,0)</f>
        <v>0.50735911978083614</v>
      </c>
      <c r="J11" s="57">
        <f>IFERROR('Historical FS'!J13,0)</f>
        <v>0.45426509086442762</v>
      </c>
      <c r="K11" s="57">
        <f>IFERROR('Historical FS'!K13,0)</f>
        <v>0.43848102401304379</v>
      </c>
      <c r="L11" s="57">
        <f>IFERROR('Historical FS'!L13,0)</f>
        <v>0.45991745797989614</v>
      </c>
      <c r="M11" s="51"/>
      <c r="N11" s="50">
        <f>IFERROR(AVERAGE(C11:L11),0)</f>
        <v>0.48403642648070344</v>
      </c>
      <c r="O11" s="50">
        <f>IFERROR(MEDIAN(C11:L11),0)</f>
        <v>0.49359912747211082</v>
      </c>
    </row>
    <row r="12" spans="2:15" x14ac:dyDescent="0.3">
      <c r="B12" s="8" t="s">
        <v>64</v>
      </c>
      <c r="C12" s="58">
        <f>IFERROR('Historical FS'!C19,0)</f>
        <v>0.37046792892965952</v>
      </c>
      <c r="D12" s="58">
        <f>IFERROR('Historical FS'!D19,0)</f>
        <v>0.36714751082962049</v>
      </c>
      <c r="E12" s="58">
        <f>IFERROR('Historical FS'!E19,0)</f>
        <v>0.37077599822413193</v>
      </c>
      <c r="F12" s="58">
        <f>IFERROR('Historical FS'!F19,0)</f>
        <v>0.36171096811605047</v>
      </c>
      <c r="G12" s="58">
        <f>IFERROR('Historical FS'!G19,0)</f>
        <v>0.38022998950031928</v>
      </c>
      <c r="H12" s="58">
        <f>IFERROR('Historical FS'!H19,0)</f>
        <v>0.38348264507056118</v>
      </c>
      <c r="I12" s="58">
        <f>IFERROR('Historical FS'!I19,0)</f>
        <v>0.39166715599228152</v>
      </c>
      <c r="J12" s="58">
        <f>IFERROR('Historical FS'!J19,0)</f>
        <v>0.3464405891900616</v>
      </c>
      <c r="K12" s="58">
        <f>IFERROR('Historical FS'!K19,0)</f>
        <v>0.34006606365552439</v>
      </c>
      <c r="L12" s="58">
        <f>IFERROR('Historical FS'!L19,0)</f>
        <v>0.36244517162741785</v>
      </c>
      <c r="N12" s="52">
        <f t="shared" ref="N12:N41" si="3">IFERROR(AVERAGE(C12:L12),0)</f>
        <v>0.36744340211356286</v>
      </c>
      <c r="O12" s="52">
        <f t="shared" ref="O12:O41" si="4">IFERROR(MEDIAN(C12:L12),0)</f>
        <v>0.36880771987964001</v>
      </c>
    </row>
    <row r="13" spans="2:15" x14ac:dyDescent="0.3">
      <c r="B13" s="8" t="s">
        <v>129</v>
      </c>
      <c r="C13" s="58">
        <f>IFERROR(('Historical FS'!C18-'Historical FS'!C24)/'Historical FS'!C6,0)</f>
        <v>0.34313806295340538</v>
      </c>
      <c r="D13" s="58">
        <f>IFERROR(('Historical FS'!D18-'Historical FS'!D24)/'Historical FS'!D6,0)</f>
        <v>0.34066540176185017</v>
      </c>
      <c r="E13" s="58">
        <f>IFERROR(('Historical FS'!E18-'Historical FS'!E24)/'Historical FS'!E6,0)</f>
        <v>0.34328576422289186</v>
      </c>
      <c r="F13" s="58">
        <f>IFERROR(('Historical FS'!F18-'Historical FS'!F24)/'Historical FS'!F6,0)</f>
        <v>0.33475621732339439</v>
      </c>
      <c r="G13" s="58">
        <f>IFERROR(('Historical FS'!G18-'Historical FS'!G24)/'Historical FS'!G6,0)</f>
        <v>0.35177636094229231</v>
      </c>
      <c r="H13" s="58">
        <f>IFERROR(('Historical FS'!H18-'Historical FS'!H24)/'Historical FS'!H6,0)</f>
        <v>0.35459099975630731</v>
      </c>
      <c r="I13" s="58">
        <f>IFERROR(('Historical FS'!I18-'Historical FS'!I24)/'Historical FS'!I6,0)</f>
        <v>0.35836108990700116</v>
      </c>
      <c r="J13" s="58">
        <f>IFERROR(('Historical FS'!J18-'Historical FS'!J24)/'Historical FS'!J6,0)</f>
        <v>0.3130326478532689</v>
      </c>
      <c r="K13" s="58">
        <f>IFERROR(('Historical FS'!K18-'Historical FS'!K24)/'Historical FS'!K6,0)</f>
        <v>0.31149943589315698</v>
      </c>
      <c r="L13" s="58">
        <f>IFERROR(('Historical FS'!L18-'Historical FS'!L24)/'Historical FS'!L6,0)</f>
        <v>0.33693706752616326</v>
      </c>
      <c r="N13" s="52">
        <f t="shared" si="3"/>
        <v>0.33880430481397322</v>
      </c>
      <c r="O13" s="52">
        <f t="shared" si="4"/>
        <v>0.34190173235762777</v>
      </c>
    </row>
    <row r="14" spans="2:15" x14ac:dyDescent="0.3">
      <c r="B14" s="8" t="s">
        <v>130</v>
      </c>
      <c r="C14" s="58">
        <f>IFERROR('Historical FS'!C28,0)</f>
        <v>0.34231186783823797</v>
      </c>
      <c r="D14" s="58">
        <f>IFERROR('Historical FS'!D28,0)</f>
        <v>0.33832210762510911</v>
      </c>
      <c r="E14" s="58">
        <f>IFERROR('Historical FS'!E28,0)</f>
        <v>0.34129225022389714</v>
      </c>
      <c r="F14" s="58">
        <f>IFERROR('Historical FS'!F28,0)</f>
        <v>0.33360978871856267</v>
      </c>
      <c r="G14" s="58">
        <f>IFERROR('Historical FS'!G28,0)</f>
        <v>0.34912934584825317</v>
      </c>
      <c r="H14" s="58">
        <f>IFERROR('Historical FS'!H28,0)</f>
        <v>0.3531139492730388</v>
      </c>
      <c r="I14" s="58">
        <f>IFERROR('Historical FS'!I28,0)</f>
        <v>0.35671331120906624</v>
      </c>
      <c r="J14" s="58">
        <f>IFERROR('Historical FS'!J28,0)</f>
        <v>0.31185577004087706</v>
      </c>
      <c r="K14" s="58">
        <f>IFERROR('Historical FS'!K28,0)</f>
        <v>0.31051022895053687</v>
      </c>
      <c r="L14" s="58">
        <f>IFERROR('Historical FS'!L28,0)</f>
        <v>0.33584046482305235</v>
      </c>
      <c r="N14" s="52">
        <f t="shared" si="3"/>
        <v>0.33726990845506311</v>
      </c>
      <c r="O14" s="52">
        <f t="shared" si="4"/>
        <v>0.33980717892450313</v>
      </c>
    </row>
    <row r="15" spans="2:15" x14ac:dyDescent="0.3">
      <c r="B15" s="53" t="s">
        <v>71</v>
      </c>
      <c r="C15" s="59">
        <f>IFERROR('Historical FS'!C34,0)</f>
        <v>0.22729230907797812</v>
      </c>
      <c r="D15" s="59">
        <f>IFERROR('Historical FS'!D34,0)</f>
        <v>0.21991001400154322</v>
      </c>
      <c r="E15" s="59">
        <f>IFERROR('Historical FS'!E34,0)</f>
        <v>0.20457566703493815</v>
      </c>
      <c r="F15" s="59">
        <f>IFERROR('Historical FS'!F34,0)</f>
        <v>0.20385993134990041</v>
      </c>
      <c r="G15" s="59">
        <f>IFERROR('Historical FS'!G34,0)</f>
        <v>0.21295962571238797</v>
      </c>
      <c r="H15" s="59">
        <f>IFERROR('Historical FS'!H34,0)</f>
        <v>0.22249800267193054</v>
      </c>
      <c r="I15" s="59">
        <f>IFERROR('Historical FS'!I34,0)</f>
        <v>0.26677614061800814</v>
      </c>
      <c r="J15" s="59">
        <f>IFERROR('Historical FS'!J34,0)</f>
        <v>0.21937656131204519</v>
      </c>
      <c r="K15" s="59">
        <f>IFERROR('Historical FS'!K34,0)</f>
        <v>0.2241489505897809</v>
      </c>
      <c r="L15" s="59">
        <f>IFERROR('Historical FS'!L34,0)</f>
        <v>0.24505524116728605</v>
      </c>
      <c r="M15" s="56"/>
      <c r="N15" s="55">
        <f t="shared" si="3"/>
        <v>0.22464524435357988</v>
      </c>
      <c r="O15" s="55">
        <f t="shared" si="4"/>
        <v>0.22120400833673687</v>
      </c>
    </row>
    <row r="16" spans="2:15" x14ac:dyDescent="0.3">
      <c r="D16" s="17"/>
      <c r="E16" s="17"/>
      <c r="F16" s="17"/>
      <c r="G16" s="17"/>
      <c r="H16" s="17"/>
      <c r="I16" s="17"/>
      <c r="J16" s="17"/>
      <c r="K16" s="17"/>
      <c r="L16" s="17"/>
      <c r="N16" s="45"/>
      <c r="O16" s="45"/>
    </row>
    <row r="17" spans="2:15" x14ac:dyDescent="0.3">
      <c r="B17" s="48" t="s">
        <v>131</v>
      </c>
      <c r="C17" s="57">
        <f>IFERROR('Historical FS'!C16,0)</f>
        <v>0.12579776544952292</v>
      </c>
      <c r="D17" s="57">
        <f>IFERROR('Historical FS'!D16,0)</f>
        <v>0.12564420623358488</v>
      </c>
      <c r="E17" s="57">
        <f>IFERROR('Historical FS'!E16,0)</f>
        <v>0.14027495337070481</v>
      </c>
      <c r="F17" s="57">
        <f>IFERROR('Historical FS'!F16,0)</f>
        <v>0.12507061420327537</v>
      </c>
      <c r="G17" s="57">
        <f>IFERROR('Historical FS'!G16,0)</f>
        <v>0.11417654838069698</v>
      </c>
      <c r="H17" s="57">
        <f>IFERROR('Historical FS'!H16,0)</f>
        <v>0.11556244386070379</v>
      </c>
      <c r="I17" s="57">
        <f>IFERROR('Historical FS'!I16,0)</f>
        <v>0.11569196378855465</v>
      </c>
      <c r="J17" s="57">
        <f>IFERROR('Historical FS'!J16,0)</f>
        <v>0.10782450167436604</v>
      </c>
      <c r="K17" s="57">
        <f>IFERROR('Historical FS'!K16,0)</f>
        <v>9.8414960357519399E-2</v>
      </c>
      <c r="L17" s="57">
        <f>IFERROR('Historical FS'!L16,0)</f>
        <v>9.7472286352478302E-2</v>
      </c>
      <c r="M17" s="51"/>
      <c r="N17" s="50">
        <f t="shared" si="3"/>
        <v>0.11659302436714074</v>
      </c>
      <c r="O17" s="50">
        <f t="shared" si="4"/>
        <v>0.11562720382462921</v>
      </c>
    </row>
    <row r="18" spans="2:15" x14ac:dyDescent="0.3">
      <c r="B18" s="8" t="s">
        <v>66</v>
      </c>
      <c r="C18" s="58">
        <f>IFERROR('Historical FS'!C25,0)</f>
        <v>2.7329865976254183E-2</v>
      </c>
      <c r="D18" s="58">
        <f>IFERROR('Historical FS'!D25,0)</f>
        <v>2.6482109067770303E-2</v>
      </c>
      <c r="E18" s="58">
        <f>IFERROR('Historical FS'!E25,0)</f>
        <v>2.7490234001240049E-2</v>
      </c>
      <c r="F18" s="58">
        <f>IFERROR('Historical FS'!F25,0)</f>
        <v>2.6954750792656124E-2</v>
      </c>
      <c r="G18" s="58">
        <f>IFERROR('Historical FS'!G25,0)</f>
        <v>2.845362855802696E-2</v>
      </c>
      <c r="H18" s="58">
        <f>IFERROR('Historical FS'!H25,0)</f>
        <v>2.8891645314253867E-2</v>
      </c>
      <c r="I18" s="58">
        <f>IFERROR('Historical FS'!I25,0)</f>
        <v>3.3306066085280348E-2</v>
      </c>
      <c r="J18" s="58">
        <f>IFERROR('Historical FS'!J25,0)</f>
        <v>3.3407941336792708E-2</v>
      </c>
      <c r="K18" s="58">
        <f>IFERROR('Historical FS'!K25,0)</f>
        <v>2.8566627762367396E-2</v>
      </c>
      <c r="L18" s="58">
        <f>IFERROR('Historical FS'!L25,0)</f>
        <v>2.550810410125463E-2</v>
      </c>
      <c r="N18" s="52">
        <f t="shared" si="3"/>
        <v>2.8639097299589661E-2</v>
      </c>
      <c r="O18" s="52">
        <f t="shared" si="4"/>
        <v>2.7971931279633502E-2</v>
      </c>
    </row>
    <row r="19" spans="2:15" x14ac:dyDescent="0.3">
      <c r="B19" s="53" t="s">
        <v>132</v>
      </c>
      <c r="C19" s="60">
        <f>C13</f>
        <v>0.34313806295340538</v>
      </c>
      <c r="D19" s="60">
        <f t="shared" ref="D19:L19" si="5">D13</f>
        <v>0.34066540176185017</v>
      </c>
      <c r="E19" s="60">
        <f t="shared" si="5"/>
        <v>0.34328576422289186</v>
      </c>
      <c r="F19" s="60">
        <f t="shared" si="5"/>
        <v>0.33475621732339439</v>
      </c>
      <c r="G19" s="60">
        <f t="shared" si="5"/>
        <v>0.35177636094229231</v>
      </c>
      <c r="H19" s="60">
        <f t="shared" si="5"/>
        <v>0.35459099975630731</v>
      </c>
      <c r="I19" s="60">
        <f t="shared" si="5"/>
        <v>0.35836108990700116</v>
      </c>
      <c r="J19" s="60">
        <f t="shared" si="5"/>
        <v>0.3130326478532689</v>
      </c>
      <c r="K19" s="60">
        <f t="shared" si="5"/>
        <v>0.31149943589315698</v>
      </c>
      <c r="L19" s="60">
        <f t="shared" si="5"/>
        <v>0.33693706752616326</v>
      </c>
      <c r="M19" s="56"/>
      <c r="N19" s="55">
        <f t="shared" si="3"/>
        <v>0.33880430481397322</v>
      </c>
      <c r="O19" s="55">
        <f t="shared" si="4"/>
        <v>0.34190173235762777</v>
      </c>
    </row>
    <row r="20" spans="2:15" x14ac:dyDescent="0.3">
      <c r="D20" s="17"/>
      <c r="E20" s="17"/>
      <c r="F20" s="17"/>
      <c r="G20" s="17"/>
      <c r="H20" s="17"/>
      <c r="I20" s="17"/>
      <c r="J20" s="17"/>
      <c r="K20" s="17"/>
      <c r="L20" s="17"/>
      <c r="N20" s="45">
        <f t="shared" si="3"/>
        <v>0</v>
      </c>
      <c r="O20" s="45">
        <f t="shared" si="4"/>
        <v>0</v>
      </c>
    </row>
    <row r="21" spans="2:15" x14ac:dyDescent="0.3">
      <c r="B21" s="48" t="s">
        <v>133</v>
      </c>
      <c r="C21" s="61">
        <f>IFERROR(('Historical FS'!C18-'Historical FS'!C24)/SUM('Historical FS'!C47:C49),0)</f>
        <v>0.440875464029925</v>
      </c>
      <c r="D21" s="61">
        <f>IFERROR(('Historical FS'!D18-'Historical FS'!D24)/SUM('Historical FS'!D47:D49),0)</f>
        <v>0.41318398252234323</v>
      </c>
      <c r="E21" s="61">
        <f>IFERROR(('Historical FS'!E18-'Historical FS'!E24)/SUM('Historical FS'!E47:E49),0)</f>
        <v>0.31461767450126626</v>
      </c>
      <c r="F21" s="61">
        <f>IFERROR(('Historical FS'!F18-'Historical FS'!F24)/SUM('Historical FS'!F47:F49),0)</f>
        <v>0.30816048249357225</v>
      </c>
      <c r="G21" s="61">
        <f>IFERROR(('Historical FS'!G18-'Historical FS'!G24)/SUM('Historical FS'!G47:G49),0)</f>
        <v>0.29087468644158282</v>
      </c>
      <c r="H21" s="61">
        <f>IFERROR(('Historical FS'!H18-'Historical FS'!H24)/SUM('Historical FS'!H47:H49),0)</f>
        <v>0.28976383969316855</v>
      </c>
      <c r="I21" s="61">
        <f>IFERROR(('Historical FS'!I18-'Historical FS'!I24)/SUM('Historical FS'!I47:I49),0)</f>
        <v>0.26999905874398611</v>
      </c>
      <c r="J21" s="61">
        <f>IFERROR(('Historical FS'!J18-'Historical FS'!J24)/SUM('Historical FS'!J47:J49),0)</f>
        <v>0.25436581143904541</v>
      </c>
      <c r="K21" s="61">
        <f>IFERROR(('Historical FS'!K18-'Historical FS'!K24)/SUM('Historical FS'!K47:K49),0)</f>
        <v>0.30126364703553982</v>
      </c>
      <c r="L21" s="61">
        <f>IFERROR(('Historical FS'!L18-'Historical FS'!L24)/SUM('Historical FS'!L47:L49),0)</f>
        <v>0.34400810235339674</v>
      </c>
      <c r="M21" s="51"/>
      <c r="N21" s="50">
        <f t="shared" si="3"/>
        <v>0.3227112749253826</v>
      </c>
      <c r="O21" s="50">
        <f t="shared" si="4"/>
        <v>0.30471206476455603</v>
      </c>
    </row>
    <row r="22" spans="2:15" x14ac:dyDescent="0.3">
      <c r="B22" s="8" t="s">
        <v>134</v>
      </c>
      <c r="C22" s="62">
        <f>'Historical FS'!C44</f>
        <v>0.40535933247599953</v>
      </c>
      <c r="D22" s="62">
        <f>'Historical FS'!D44</f>
        <v>0.41312960680764954</v>
      </c>
      <c r="E22" s="62">
        <f>'Historical FS'!E44</f>
        <v>0.14687786473761333</v>
      </c>
      <c r="F22" s="62">
        <f>'Historical FS'!F44</f>
        <v>0.33819420549170731</v>
      </c>
      <c r="G22" s="62">
        <f>'Historical FS'!G44</f>
        <v>0.32072859556008038</v>
      </c>
      <c r="H22" s="62">
        <f>'Historical FS'!H44</f>
        <v>0.34463983874236903</v>
      </c>
      <c r="I22" s="62">
        <f>'Historical FS'!I44</f>
        <v>5.3044068290594826E-2</v>
      </c>
      <c r="J22" s="62">
        <f>'Historical FS'!J44</f>
        <v>0</v>
      </c>
      <c r="K22" s="62">
        <f>'Historical FS'!K44</f>
        <v>0</v>
      </c>
      <c r="L22" s="62">
        <f>'Historical FS'!L44</f>
        <v>0</v>
      </c>
      <c r="N22" s="52">
        <f t="shared" si="3"/>
        <v>0.20219735121060137</v>
      </c>
      <c r="O22" s="52">
        <f t="shared" si="4"/>
        <v>0.23380323014884685</v>
      </c>
    </row>
    <row r="23" spans="2:15" x14ac:dyDescent="0.3">
      <c r="B23" s="8" t="s">
        <v>135</v>
      </c>
      <c r="C23" s="62">
        <f>IFERROR('Historical FS'!C33/SUM('Historical FS'!C47:C48),0)</f>
        <v>0.29463200004699497</v>
      </c>
      <c r="D23" s="62">
        <f>IFERROR('Historical FS'!D33/SUM('Historical FS'!D47:D48),0)</f>
        <v>0.26898213955417122</v>
      </c>
      <c r="E23" s="62">
        <f>IFERROR('Historical FS'!E33/SUM('Historical FS'!E47:E48),0)</f>
        <v>0.1878594229738291</v>
      </c>
      <c r="F23" s="62">
        <f>IFERROR('Historical FS'!F33/SUM('Historical FS'!F47:F48),0)</f>
        <v>0.18784851548911047</v>
      </c>
      <c r="G23" s="62">
        <f>IFERROR('Historical FS'!G33/SUM('Historical FS'!G47:G48),0)</f>
        <v>0.17621120961277748</v>
      </c>
      <c r="H23" s="62">
        <f>IFERROR('Historical FS'!H33/SUM('Historical FS'!H47:H48),0)</f>
        <v>0.18186171424262107</v>
      </c>
      <c r="I23" s="62">
        <f>IFERROR('Historical FS'!I33/SUM('Historical FS'!I47:I48),0)</f>
        <v>0.2018508038360578</v>
      </c>
      <c r="J23" s="62">
        <f>IFERROR('Historical FS'!J33/SUM('Historical FS'!J47:J48),0)</f>
        <v>0.17906224201431251</v>
      </c>
      <c r="K23" s="62">
        <f>IFERROR('Historical FS'!K33/SUM('Historical FS'!K47:K48),0)</f>
        <v>0.21764928252195909</v>
      </c>
      <c r="L23" s="62">
        <f>IFERROR('Historical FS'!L33/SUM('Historical FS'!L47:L48),0)</f>
        <v>0.25130525140097792</v>
      </c>
      <c r="N23" s="52">
        <f t="shared" si="3"/>
        <v>0.21472625816928118</v>
      </c>
      <c r="O23" s="52">
        <f t="shared" si="4"/>
        <v>0.19485511340494344</v>
      </c>
    </row>
    <row r="24" spans="2:15" x14ac:dyDescent="0.3">
      <c r="B24" s="53" t="s">
        <v>136</v>
      </c>
      <c r="C24" s="60">
        <f>IFERROR(C22*C23,0)</f>
        <v>0.11943183086511855</v>
      </c>
      <c r="D24" s="60">
        <f t="shared" ref="D24:L24" si="6">IFERROR(D22*D23,0)</f>
        <v>0.11112448555229507</v>
      </c>
      <c r="E24" s="60">
        <f t="shared" si="6"/>
        <v>2.759239091723616E-2</v>
      </c>
      <c r="F24" s="60">
        <f t="shared" si="6"/>
        <v>6.3529279448636386E-2</v>
      </c>
      <c r="G24" s="60">
        <f t="shared" si="6"/>
        <v>5.6515973781049056E-2</v>
      </c>
      <c r="H24" s="60">
        <f t="shared" si="6"/>
        <v>6.2676791869987716E-2</v>
      </c>
      <c r="I24" s="60">
        <f t="shared" si="6"/>
        <v>1.070698782319131E-2</v>
      </c>
      <c r="J24" s="60">
        <f t="shared" si="6"/>
        <v>0</v>
      </c>
      <c r="K24" s="60">
        <f t="shared" si="6"/>
        <v>0</v>
      </c>
      <c r="L24" s="60">
        <f t="shared" si="6"/>
        <v>0</v>
      </c>
      <c r="M24" s="56"/>
      <c r="N24" s="55">
        <f t="shared" si="3"/>
        <v>4.5157774025751427E-2</v>
      </c>
      <c r="O24" s="55">
        <f t="shared" si="4"/>
        <v>4.2054182349142606E-2</v>
      </c>
    </row>
    <row r="25" spans="2:15" x14ac:dyDescent="0.3">
      <c r="D25" s="17"/>
      <c r="E25" s="17"/>
      <c r="F25" s="17"/>
      <c r="G25" s="17"/>
      <c r="H25" s="17"/>
      <c r="I25" s="17"/>
      <c r="J25" s="17"/>
      <c r="K25" s="17"/>
      <c r="L25" s="17"/>
      <c r="N25" s="45"/>
      <c r="O25" s="45"/>
    </row>
    <row r="26" spans="2:15" x14ac:dyDescent="0.3">
      <c r="B26" s="48" t="s">
        <v>137</v>
      </c>
      <c r="C26" s="63">
        <f>IFERROR(('Historical FS'!C18-'Historical FS'!C24)/'Historical FS'!C21,0)</f>
        <v>415.32327733973256</v>
      </c>
      <c r="D26" s="63">
        <f>IFERROR(('Historical FS'!D18-'Historical FS'!D24)/'Historical FS'!D21,0)</f>
        <v>145.37884784520674</v>
      </c>
      <c r="E26" s="63">
        <f>IFERROR(('Historical FS'!E18-'Historical FS'!E24)/'Historical FS'!E21,0)</f>
        <v>172.20133111480865</v>
      </c>
      <c r="F26" s="63">
        <f>IFERROR(('Historical FS'!F18-'Historical FS'!F24)/'Historical FS'!F21,0)</f>
        <v>291.99918417295532</v>
      </c>
      <c r="G26" s="63">
        <f>IFERROR(('Historical FS'!G18-'Historical FS'!G24)/'Historical FS'!G21,0)</f>
        <v>132.8954873489262</v>
      </c>
      <c r="H26" s="63">
        <f>IFERROR(('Historical FS'!H18-'Historical FS'!H24)/'Historical FS'!H21,0)</f>
        <v>240.06694677871144</v>
      </c>
      <c r="I26" s="63">
        <f>IFERROR(('Historical FS'!I18-'Historical FS'!I24)/'Historical FS'!I21,0)</f>
        <v>217.48132219218485</v>
      </c>
      <c r="J26" s="63">
        <f>IFERROR(('Historical FS'!J18-'Historical FS'!J24)/'Historical FS'!J21,0)</f>
        <v>265.98568224943932</v>
      </c>
      <c r="K26" s="63">
        <f>IFERROR(('Historical FS'!K18-'Historical FS'!K24)/'Historical FS'!K21,0)</f>
        <v>314.89814969161517</v>
      </c>
      <c r="L26" s="63">
        <f>IFERROR(('Historical FS'!L18-'Historical FS'!L24)/'Historical FS'!L21,0)</f>
        <v>307.25536839398222</v>
      </c>
      <c r="M26" s="51"/>
      <c r="N26" s="63">
        <f t="shared" si="3"/>
        <v>250.3485597127563</v>
      </c>
      <c r="O26" s="63">
        <f t="shared" si="4"/>
        <v>253.02631451407538</v>
      </c>
    </row>
    <row r="27" spans="2:15" x14ac:dyDescent="0.3">
      <c r="B27" s="8" t="s">
        <v>138</v>
      </c>
      <c r="C27" s="64">
        <f>IFERROR('Historical FS'!C6/'Historical FS'!C59,0)</f>
        <v>14.474534787902641</v>
      </c>
      <c r="D27" s="64">
        <f>IFERROR('Historical FS'!D6/'Historical FS'!D59,0)</f>
        <v>19.584146876750065</v>
      </c>
      <c r="E27" s="64">
        <f>IFERROR('Historical FS'!E6/'Historical FS'!E59,0)</f>
        <v>20.442577118476095</v>
      </c>
      <c r="F27" s="64">
        <f>IFERROR('Historical FS'!F6/'Historical FS'!F59,0)</f>
        <v>17.28479685081377</v>
      </c>
      <c r="G27" s="64">
        <f>IFERROR('Historical FS'!G6/'Historical FS'!G59,0)</f>
        <v>16.198449832046499</v>
      </c>
      <c r="H27" s="64">
        <f>IFERROR('Historical FS'!H6/'Historical FS'!H59,0)</f>
        <v>11.97923811978351</v>
      </c>
      <c r="I27" s="64">
        <f>IFERROR('Historical FS'!I6/'Historical FS'!I59,0)</f>
        <v>19.273399207018201</v>
      </c>
      <c r="J27" s="64">
        <f>IFERROR('Historical FS'!J6/'Historical FS'!J59,0)</f>
        <v>19.689591078066915</v>
      </c>
      <c r="K27" s="64">
        <f>IFERROR('Historical FS'!K6/'Historical FS'!K59,0)</f>
        <v>24.633226369876922</v>
      </c>
      <c r="L27" s="64">
        <f>IFERROR('Historical FS'!L6/'Historical FS'!L59,0)</f>
        <v>23.990173095593285</v>
      </c>
      <c r="N27" s="47">
        <f t="shared" si="3"/>
        <v>18.755013333632789</v>
      </c>
      <c r="O27" s="47">
        <f t="shared" si="4"/>
        <v>19.428773041884135</v>
      </c>
    </row>
    <row r="28" spans="2:15" x14ac:dyDescent="0.3">
      <c r="B28" s="8" t="s">
        <v>139</v>
      </c>
      <c r="C28" s="64">
        <f>IFERROR('Historical FS'!C6/'Historical FS'!C50,0)</f>
        <v>2.6409098933057269</v>
      </c>
      <c r="D28" s="64">
        <f>IFERROR('Historical FS'!D6/'Historical FS'!D50,0)</f>
        <v>2.7830043597867209</v>
      </c>
      <c r="E28" s="64">
        <f>IFERROR('Historical FS'!E6/'Historical FS'!E50,0)</f>
        <v>4.4095323603404122</v>
      </c>
      <c r="F28" s="64">
        <f>IFERROR('Historical FS'!F6/'Historical FS'!F50,0)</f>
        <v>4.5306244815761563</v>
      </c>
      <c r="G28" s="64">
        <f>IFERROR('Historical FS'!G6/'Historical FS'!G50,0)</f>
        <v>3.7152199472417347</v>
      </c>
      <c r="H28" s="64">
        <f>IFERROR('Historical FS'!H6/'Historical FS'!H50,0)</f>
        <v>3.8411296865328062</v>
      </c>
      <c r="I28" s="64">
        <f>IFERROR('Historical FS'!I6/'Historical FS'!I50,0)</f>
        <v>4.1996200693194918</v>
      </c>
      <c r="J28" s="64">
        <f>IFERROR('Historical FS'!J6/'Historical FS'!J50,0)</f>
        <v>3.7479256371841467</v>
      </c>
      <c r="K28" s="64">
        <f>IFERROR('Historical FS'!K6/'Historical FS'!K50,0)</f>
        <v>4.1849767545533405</v>
      </c>
      <c r="L28" s="64">
        <f>IFERROR('Historical FS'!L6/'Historical FS'!L50,0)</f>
        <v>4.3323459375454343</v>
      </c>
      <c r="N28" s="47">
        <f t="shared" si="3"/>
        <v>3.8385289127385969</v>
      </c>
      <c r="O28" s="47">
        <f t="shared" si="4"/>
        <v>4.0130532205430729</v>
      </c>
    </row>
    <row r="29" spans="2:15" x14ac:dyDescent="0.3">
      <c r="B29" s="8" t="s">
        <v>140</v>
      </c>
      <c r="C29" s="64">
        <f>IFERROR('Historical FS'!C6/'Historical FS'!C60,0)</f>
        <v>4.2768508244460488</v>
      </c>
      <c r="D29" s="64">
        <f>IFERROR('Historical FS'!D6/'Historical FS'!D60,0)</f>
        <v>4.5205237764167849</v>
      </c>
      <c r="E29" s="64">
        <f>IFERROR('Historical FS'!E6/'Historical FS'!E60,0)</f>
        <v>4.3248364065724276</v>
      </c>
      <c r="F29" s="64">
        <f>IFERROR('Historical FS'!F6/'Historical FS'!F60,0)</f>
        <v>5.2694767191138601</v>
      </c>
      <c r="G29" s="64">
        <f>IFERROR('Historical FS'!G6/'Historical FS'!G60,0)</f>
        <v>5.7969870942176813</v>
      </c>
      <c r="H29" s="64">
        <f>IFERROR('Historical FS'!H6/'Historical FS'!H60,0)</f>
        <v>6.1504180895622653</v>
      </c>
      <c r="I29" s="64">
        <f>IFERROR('Historical FS'!I6/'Historical FS'!I60,0)</f>
        <v>5.5620975906965953</v>
      </c>
      <c r="J29" s="64">
        <f>IFERROR('Historical FS'!J6/'Historical FS'!J60,0)</f>
        <v>4.7375869949101483</v>
      </c>
      <c r="K29" s="64">
        <f>IFERROR('Historical FS'!K6/'Historical FS'!K60,0)</f>
        <v>5.5820786715941884</v>
      </c>
      <c r="L29" s="64">
        <f>IFERROR('Historical FS'!L6/'Historical FS'!L60,0)</f>
        <v>6.0248123379514</v>
      </c>
      <c r="N29" s="47">
        <f t="shared" si="3"/>
        <v>5.2245668505481406</v>
      </c>
      <c r="O29" s="47">
        <f t="shared" si="4"/>
        <v>5.4157871549052281</v>
      </c>
    </row>
    <row r="30" spans="2:15" x14ac:dyDescent="0.3">
      <c r="B30" s="8" t="s">
        <v>141</v>
      </c>
      <c r="C30" s="64">
        <f>IFERROR('Historical FS'!C6/'Historical FS'!C53,0)</f>
        <v>2.7324208864433146</v>
      </c>
      <c r="D30" s="64">
        <f>IFERROR('Historical FS'!D6/'Historical FS'!D53,0)</f>
        <v>2.5365248495747319</v>
      </c>
      <c r="E30" s="64">
        <f>IFERROR('Historical FS'!E6/'Historical FS'!E53,0)</f>
        <v>2.594364196382648</v>
      </c>
      <c r="F30" s="64">
        <f>IFERROR('Historical FS'!F6/'Historical FS'!F53,0)</f>
        <v>2.6908895974953251</v>
      </c>
      <c r="G30" s="64">
        <f>IFERROR('Historical FS'!G6/'Historical FS'!G53,0)</f>
        <v>2.6294508096122238</v>
      </c>
      <c r="H30" s="64">
        <f>IFERROR('Historical FS'!H6/'Historical FS'!H53,0)</f>
        <v>2.4950503737188501</v>
      </c>
      <c r="I30" s="64">
        <f>IFERROR('Historical FS'!I6/'Historical FS'!I53,0)</f>
        <v>2.2745326145125531</v>
      </c>
      <c r="J30" s="64">
        <f>IFERROR('Historical FS'!J6/'Historical FS'!J53,0)</f>
        <v>2.1141915695787881</v>
      </c>
      <c r="K30" s="64">
        <f>IFERROR('Historical FS'!K6/'Historical FS'!K53,0)</f>
        <v>2.5027057654904197</v>
      </c>
      <c r="L30" s="64">
        <f>IFERROR('Historical FS'!L6/'Historical FS'!L53,0)</f>
        <v>2.7433480057266046</v>
      </c>
      <c r="N30" s="47">
        <f t="shared" si="3"/>
        <v>2.5313478668535461</v>
      </c>
      <c r="O30" s="47">
        <f t="shared" si="4"/>
        <v>2.56544452297869</v>
      </c>
    </row>
    <row r="31" spans="2:15" x14ac:dyDescent="0.3">
      <c r="B31" s="53" t="s">
        <v>142</v>
      </c>
      <c r="C31" s="65">
        <f>IFERROR('Historical FS'!C6/SUM('Historical FS'!C47:C48),0)</f>
        <v>1.2962691137336912</v>
      </c>
      <c r="D31" s="65">
        <f>IFERROR('Historical FS'!D6/SUM('Historical FS'!D47:D48),0)</f>
        <v>1.2231463891056986</v>
      </c>
      <c r="E31" s="65">
        <f>IFERROR('Historical FS'!E6/SUM('Historical FS'!E47:E48),0)</f>
        <v>0.91828820942691003</v>
      </c>
      <c r="F31" s="65">
        <f>IFERROR('Historical FS'!F6/SUM('Historical FS'!F47:F48),0)</f>
        <v>0.92145874005368755</v>
      </c>
      <c r="G31" s="65">
        <f>IFERROR('Historical FS'!G6/SUM('Historical FS'!G47:G48),0)</f>
        <v>0.82743951593321752</v>
      </c>
      <c r="H31" s="65">
        <f>IFERROR('Historical FS'!H6/SUM('Historical FS'!H47:H48),0)</f>
        <v>0.81736335633885671</v>
      </c>
      <c r="I31" s="65">
        <f>IFERROR('Historical FS'!I6/SUM('Historical FS'!I47:I48),0)</f>
        <v>0.75662989714317919</v>
      </c>
      <c r="J31" s="65">
        <f>IFERROR('Historical FS'!J6/SUM('Historical FS'!J47:J48),0)</f>
        <v>0.81623233103563475</v>
      </c>
      <c r="K31" s="65">
        <f>IFERROR('Historical FS'!K6/SUM('Historical FS'!K47:K48),0)</f>
        <v>0.97100290654620558</v>
      </c>
      <c r="L31" s="65">
        <f>IFERROR('Historical FS'!L6/SUM('Historical FS'!L47:L48),0)</f>
        <v>1.0255044952473606</v>
      </c>
      <c r="M31" s="56"/>
      <c r="N31" s="46">
        <f t="shared" si="3"/>
        <v>0.95733349545644431</v>
      </c>
      <c r="O31" s="46">
        <f t="shared" si="4"/>
        <v>0.91987347474029879</v>
      </c>
    </row>
    <row r="32" spans="2:15" x14ac:dyDescent="0.3">
      <c r="D32" s="17"/>
      <c r="E32" s="17"/>
      <c r="F32" s="17"/>
      <c r="G32" s="17"/>
      <c r="H32" s="17"/>
      <c r="I32" s="17"/>
      <c r="J32" s="17"/>
      <c r="K32" s="17"/>
      <c r="L32" s="17"/>
      <c r="N32" s="45"/>
      <c r="O32" s="45"/>
    </row>
    <row r="33" spans="2:15" x14ac:dyDescent="0.3">
      <c r="B33" s="43" t="s">
        <v>143</v>
      </c>
      <c r="D33" s="17"/>
      <c r="E33" s="17"/>
      <c r="F33" s="17"/>
      <c r="G33" s="17"/>
      <c r="H33" s="17"/>
      <c r="I33" s="17"/>
      <c r="J33" s="17"/>
      <c r="K33" s="17"/>
      <c r="L33" s="17"/>
      <c r="N33" s="45"/>
      <c r="O33" s="45"/>
    </row>
    <row r="34" spans="2:15" x14ac:dyDescent="0.3">
      <c r="B34" s="48" t="s">
        <v>144</v>
      </c>
      <c r="C34" s="67">
        <f>IFERROR(365/C27,0)</f>
        <v>25.216699904238407</v>
      </c>
      <c r="D34" s="67">
        <f t="shared" ref="D34:L34" si="7">IFERROR(365/D27,0)</f>
        <v>18.637523620358525</v>
      </c>
      <c r="E34" s="67">
        <f t="shared" si="7"/>
        <v>17.854891674597688</v>
      </c>
      <c r="F34" s="67">
        <f t="shared" si="7"/>
        <v>21.116823249375695</v>
      </c>
      <c r="G34" s="67">
        <f t="shared" si="7"/>
        <v>22.533020368275956</v>
      </c>
      <c r="H34" s="67">
        <f t="shared" si="7"/>
        <v>30.469383474163408</v>
      </c>
      <c r="I34" s="67">
        <f t="shared" si="7"/>
        <v>18.9380189804344</v>
      </c>
      <c r="J34" s="67">
        <f t="shared" si="7"/>
        <v>18.537713584442557</v>
      </c>
      <c r="K34" s="67">
        <f t="shared" si="7"/>
        <v>14.817385044061677</v>
      </c>
      <c r="L34" s="67">
        <f t="shared" si="7"/>
        <v>15.214563002342249</v>
      </c>
      <c r="M34" s="51"/>
      <c r="N34" s="67">
        <f t="shared" si="3"/>
        <v>20.333602290229059</v>
      </c>
      <c r="O34" s="67">
        <f t="shared" si="4"/>
        <v>18.787771300396464</v>
      </c>
    </row>
    <row r="35" spans="2:15" x14ac:dyDescent="0.3">
      <c r="B35" s="8" t="s">
        <v>145</v>
      </c>
      <c r="C35" s="66">
        <f>IFERROR(365/C28,0)</f>
        <v>138.20994079548686</v>
      </c>
      <c r="D35" s="66">
        <f t="shared" ref="D35:L35" si="8">IFERROR(365/D28,0)</f>
        <v>131.15322608692293</v>
      </c>
      <c r="E35" s="66">
        <f t="shared" si="8"/>
        <v>82.775217454538037</v>
      </c>
      <c r="F35" s="66">
        <f t="shared" si="8"/>
        <v>80.562845471805772</v>
      </c>
      <c r="G35" s="66">
        <f t="shared" si="8"/>
        <v>98.244519889322959</v>
      </c>
      <c r="H35" s="66">
        <f t="shared" si="8"/>
        <v>95.024128260940614</v>
      </c>
      <c r="I35" s="66">
        <f t="shared" si="8"/>
        <v>86.912623993423466</v>
      </c>
      <c r="J35" s="66">
        <f t="shared" si="8"/>
        <v>97.387204372130526</v>
      </c>
      <c r="K35" s="66">
        <f t="shared" si="8"/>
        <v>87.216732949083294</v>
      </c>
      <c r="L35" s="66">
        <f t="shared" si="8"/>
        <v>84.249966475852816</v>
      </c>
      <c r="N35" s="66">
        <f t="shared" si="3"/>
        <v>98.173640574950738</v>
      </c>
      <c r="O35" s="66">
        <f t="shared" si="4"/>
        <v>91.120430605011961</v>
      </c>
    </row>
    <row r="36" spans="2:15" x14ac:dyDescent="0.3">
      <c r="B36" s="8" t="s">
        <v>146</v>
      </c>
      <c r="C36" s="66">
        <f>IFERROR(365/C29,0)</f>
        <v>85.343168369047788</v>
      </c>
      <c r="D36" s="66">
        <f t="shared" ref="D36:L36" si="9">IFERROR(365/D29,0)</f>
        <v>80.742855928371867</v>
      </c>
      <c r="E36" s="66">
        <f t="shared" si="9"/>
        <v>84.39625587809789</v>
      </c>
      <c r="F36" s="66">
        <f t="shared" si="9"/>
        <v>69.266839850728118</v>
      </c>
      <c r="G36" s="66">
        <f t="shared" si="9"/>
        <v>62.963742038355825</v>
      </c>
      <c r="H36" s="66">
        <f t="shared" si="9"/>
        <v>59.345559063607922</v>
      </c>
      <c r="I36" s="66">
        <f t="shared" si="9"/>
        <v>65.622724888990575</v>
      </c>
      <c r="J36" s="66">
        <f t="shared" si="9"/>
        <v>77.043440129361144</v>
      </c>
      <c r="K36" s="66">
        <f t="shared" si="9"/>
        <v>65.387827989131424</v>
      </c>
      <c r="L36" s="66">
        <f t="shared" si="9"/>
        <v>60.582799849349321</v>
      </c>
      <c r="N36" s="66">
        <f t="shared" si="3"/>
        <v>71.069521398504179</v>
      </c>
      <c r="O36" s="66">
        <f t="shared" si="4"/>
        <v>67.444782369859354</v>
      </c>
    </row>
    <row r="37" spans="2:15" x14ac:dyDescent="0.3">
      <c r="B37" s="53" t="s">
        <v>147</v>
      </c>
      <c r="C37" s="68">
        <f>IFERROR(SUM(C34,C36)-C35,0)</f>
        <v>-27.650072522200659</v>
      </c>
      <c r="D37" s="68">
        <f t="shared" ref="D37:L37" si="10">IFERROR(SUM(D34,D36)-D35,0)</f>
        <v>-31.772846538192539</v>
      </c>
      <c r="E37" s="68">
        <f t="shared" si="10"/>
        <v>19.475930098157548</v>
      </c>
      <c r="F37" s="68">
        <f t="shared" si="10"/>
        <v>9.8208176282980446</v>
      </c>
      <c r="G37" s="68">
        <f t="shared" si="10"/>
        <v>-12.747757482691185</v>
      </c>
      <c r="H37" s="68">
        <f t="shared" si="10"/>
        <v>-5.2091857231692842</v>
      </c>
      <c r="I37" s="68">
        <f t="shared" si="10"/>
        <v>-2.3518801239984839</v>
      </c>
      <c r="J37" s="68">
        <f t="shared" si="10"/>
        <v>-1.806050658326825</v>
      </c>
      <c r="K37" s="68">
        <f t="shared" si="10"/>
        <v>-7.0115199158901902</v>
      </c>
      <c r="L37" s="68">
        <f t="shared" si="10"/>
        <v>-8.4526036241612417</v>
      </c>
      <c r="M37" s="56"/>
      <c r="N37" s="68">
        <f t="shared" si="3"/>
        <v>-6.7705168862174814</v>
      </c>
      <c r="O37" s="68">
        <f t="shared" si="4"/>
        <v>-6.1103528195297372</v>
      </c>
    </row>
    <row r="38" spans="2:15" x14ac:dyDescent="0.3">
      <c r="B38" s="44"/>
      <c r="D38" s="17"/>
      <c r="E38" s="17"/>
      <c r="F38" s="17"/>
      <c r="G38" s="17"/>
      <c r="H38" s="17"/>
      <c r="I38" s="17"/>
      <c r="J38" s="17"/>
      <c r="K38" s="17"/>
      <c r="L38" s="17"/>
      <c r="N38" s="45"/>
      <c r="O38" s="45"/>
    </row>
    <row r="39" spans="2:15" x14ac:dyDescent="0.3">
      <c r="B39" s="48" t="s">
        <v>148</v>
      </c>
      <c r="C39" s="57">
        <f>IFERROR('Historical FS'!C108/'Historical FS'!C6,0)</f>
        <v>0.20799554075560739</v>
      </c>
      <c r="D39" s="57">
        <f>IFERROR('Historical FS'!D108/'Historical FS'!D6,0)</f>
        <v>0.25357863727759511</v>
      </c>
      <c r="E39" s="57">
        <f>IFERROR('Historical FS'!E108/'Historical FS'!E6,0)</f>
        <v>0.25002589807639808</v>
      </c>
      <c r="F39" s="57">
        <f>IFERROR('Historical FS'!F108/'Historical FS'!F6,0)</f>
        <v>0.2484897445729945</v>
      </c>
      <c r="G39" s="57">
        <f>IFERROR('Historical FS'!G108/'Historical FS'!G6,0)</f>
        <v>0.30310060498599045</v>
      </c>
      <c r="H39" s="57">
        <f>IFERROR('Historical FS'!H108/'Historical FS'!H6,0)</f>
        <v>0.26031277061157748</v>
      </c>
      <c r="I39" s="57">
        <f>IFERROR('Historical FS'!I108/'Historical FS'!I6,0)</f>
        <v>0.29743559631244221</v>
      </c>
      <c r="J39" s="57">
        <f>IFERROR('Historical FS'!J108/'Historical FS'!J6,0)</f>
        <v>0.25431625063822832</v>
      </c>
      <c r="K39" s="57">
        <f>IFERROR('Historical FS'!K108/'Historical FS'!K6,0)</f>
        <v>0.26013075538210034</v>
      </c>
      <c r="L39" s="57">
        <f>IFERROR('Historical FS'!L108/'Historical FS'!L6,0)</f>
        <v>0.26618454877343922</v>
      </c>
      <c r="M39" s="51"/>
      <c r="N39" s="50">
        <f t="shared" si="3"/>
        <v>0.26015703473863727</v>
      </c>
      <c r="O39" s="50">
        <f t="shared" si="4"/>
        <v>0.25722350301016433</v>
      </c>
    </row>
    <row r="40" spans="2:15" x14ac:dyDescent="0.3">
      <c r="B40" s="8" t="s">
        <v>149</v>
      </c>
      <c r="C40" s="58">
        <f>IFERROR('Historical FS'!C108/'Historical FS'!C64,0)</f>
        <v>0.17977639766150019</v>
      </c>
      <c r="D40" s="58">
        <f>IFERROR('Historical FS'!D108/'Historical FS'!D64,0)</f>
        <v>0.21420510260440084</v>
      </c>
      <c r="E40" s="58">
        <f>IFERROR('Historical FS'!E108/'Historical FS'!E64,0)</f>
        <v>0.18971511678109418</v>
      </c>
      <c r="F40" s="58">
        <f>IFERROR('Historical FS'!F108/'Historical FS'!F64,0)</f>
        <v>0.1901185939040744</v>
      </c>
      <c r="G40" s="58">
        <f>IFERROR('Historical FS'!G108/'Historical FS'!G64,0)</f>
        <v>0.20500030510167355</v>
      </c>
      <c r="H40" s="58">
        <f>IFERROR('Historical FS'!H108/'Historical FS'!H64,0)</f>
        <v>0.17540533020793139</v>
      </c>
      <c r="I40" s="58">
        <f>IFERROR('Historical FS'!I108/'Historical FS'!I64,0)</f>
        <v>0.19000798724627557</v>
      </c>
      <c r="J40" s="58">
        <f>IFERROR('Historical FS'!J108/'Historical FS'!J64,0)</f>
        <v>0.16983244207353612</v>
      </c>
      <c r="K40" s="58">
        <f>IFERROR('Historical FS'!K108/'Historical FS'!K64,0)</f>
        <v>0.20435651993457693</v>
      </c>
      <c r="L40" s="58">
        <f>IFERROR('Historical FS'!L108/'Historical FS'!L64,0)</f>
        <v>0.21993870277112126</v>
      </c>
      <c r="N40" s="52">
        <f t="shared" si="3"/>
        <v>0.19383564982861848</v>
      </c>
      <c r="O40" s="52">
        <f t="shared" si="4"/>
        <v>0.19006329057517499</v>
      </c>
    </row>
    <row r="41" spans="2:15" x14ac:dyDescent="0.3">
      <c r="B41" s="53" t="s">
        <v>150</v>
      </c>
      <c r="C41" s="59">
        <f>IFERROR('Historical FS'!C108/'Historical FS'!C49,0)</f>
        <v>30.294047275277421</v>
      </c>
      <c r="D41" s="59">
        <f>IFERROR('Historical FS'!D108/'Historical FS'!D49,0)</f>
        <v>36.61904761904762</v>
      </c>
      <c r="E41" s="59">
        <f>IFERROR('Historical FS'!E108/'Historical FS'!E49,0)</f>
        <v>116.96156600620674</v>
      </c>
      <c r="F41" s="59">
        <f>IFERROR('Historical FS'!F108/'Historical FS'!F49,0)</f>
        <v>232.44335083114609</v>
      </c>
      <c r="G41" s="59">
        <f>IFERROR('Historical FS'!G108/'Historical FS'!G49,0)</f>
        <v>366.63140311804005</v>
      </c>
      <c r="H41" s="59">
        <f>IFERROR('Historical FS'!H108/'Historical FS'!H49,0)</f>
        <v>936.265625</v>
      </c>
      <c r="I41" s="59">
        <f>IFERROR('Historical FS'!I108/'Historical FS'!I49,0)</f>
        <v>52.945251396648047</v>
      </c>
      <c r="J41" s="59">
        <f>IFERROR('Historical FS'!J108/'Historical FS'!J49,0)</f>
        <v>46.253996972270429</v>
      </c>
      <c r="K41" s="59">
        <f>IFERROR('Historical FS'!K108/'Historical FS'!K49,0)</f>
        <v>63.243705901218732</v>
      </c>
      <c r="L41" s="59">
        <f>IFERROR('Historical FS'!L108/'Historical FS'!L49,0)</f>
        <v>61.683276695856748</v>
      </c>
      <c r="M41" s="56"/>
      <c r="N41" s="55">
        <f t="shared" si="3"/>
        <v>194.33412708157118</v>
      </c>
      <c r="O41" s="55">
        <f t="shared" si="4"/>
        <v>62.46349129853774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44B6FD68-2C1D-4258-863A-3079C2E9CA13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 xr2:uid="{13A11E43-18AF-4808-A4CA-1DB9BE6863D2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9555-866C-43E3-88FE-6DEF2C3D7E00}">
  <dimension ref="B3:O21"/>
  <sheetViews>
    <sheetView showGridLines="0" tabSelected="1" workbookViewId="0">
      <selection activeCell="A21" sqref="A21"/>
    </sheetView>
  </sheetViews>
  <sheetFormatPr defaultRowHeight="14.4" x14ac:dyDescent="0.3"/>
  <cols>
    <col min="1" max="1" width="1.88671875" customWidth="1"/>
    <col min="3" max="3" width="9.6640625" bestFit="1" customWidth="1"/>
    <col min="5" max="5" width="12.77734375" customWidth="1"/>
    <col min="6" max="6" width="2" customWidth="1"/>
    <col min="10" max="10" width="13.6640625" bestFit="1" customWidth="1"/>
    <col min="11" max="11" width="2" customWidth="1"/>
    <col min="15" max="15" width="13.6640625" bestFit="1" customWidth="1"/>
  </cols>
  <sheetData>
    <row r="3" spans="2:15" x14ac:dyDescent="0.3">
      <c r="B3" s="78" t="str">
        <f>'Data Sheet'!$B$1&amp; " - "&amp;'Data Sheet'!A17 &amp;     " Forecasting"</f>
        <v>ITC LTD - Sales Forecasting</v>
      </c>
      <c r="C3" s="78"/>
      <c r="D3" s="78"/>
      <c r="E3" s="78"/>
      <c r="G3" s="78" t="str">
        <f>'Data Sheet'!$B$1&amp; " - "&amp;'Historical FS'!B18&amp;     " Forecasting"</f>
        <v>ITC LTD - EBITDA Forecasting</v>
      </c>
      <c r="H3" s="78"/>
      <c r="I3" s="78"/>
      <c r="J3" s="78"/>
      <c r="L3" s="78" t="str">
        <f>'Data Sheet'!$B$1&amp; " - "&amp;'Historical FS'!B38&amp;     " Forecasting"</f>
        <v>ITC LTD - Earnings Per Share Forecasting</v>
      </c>
      <c r="M3" s="78"/>
      <c r="N3" s="78"/>
      <c r="O3" s="78"/>
    </row>
    <row r="4" spans="2:15" x14ac:dyDescent="0.3">
      <c r="B4" s="79" t="s">
        <v>152</v>
      </c>
      <c r="C4" s="80" t="s">
        <v>153</v>
      </c>
      <c r="D4" s="80" t="s">
        <v>0</v>
      </c>
      <c r="E4" s="80" t="s">
        <v>9</v>
      </c>
      <c r="G4" s="79" t="s">
        <v>152</v>
      </c>
      <c r="H4" s="80" t="s">
        <v>153</v>
      </c>
      <c r="I4" s="80" t="s">
        <v>63</v>
      </c>
      <c r="J4" s="80" t="s">
        <v>124</v>
      </c>
      <c r="L4" s="79" t="s">
        <v>152</v>
      </c>
      <c r="M4" s="80" t="s">
        <v>153</v>
      </c>
      <c r="N4" s="80" t="s">
        <v>155</v>
      </c>
      <c r="O4" s="80" t="s">
        <v>154</v>
      </c>
    </row>
    <row r="5" spans="2:15" x14ac:dyDescent="0.3">
      <c r="B5" s="8">
        <v>1</v>
      </c>
      <c r="C5" s="75">
        <f>'Data Sheet'!$B$16</f>
        <v>41729</v>
      </c>
      <c r="D5" s="76">
        <f t="array" ref="D5:D14">TRANSPOSE('Data Sheet'!B17:K17)</f>
        <v>35306.43</v>
      </c>
      <c r="E5" s="17" t="s">
        <v>72</v>
      </c>
      <c r="G5" s="8">
        <v>1</v>
      </c>
      <c r="H5" s="75">
        <f>'Data Sheet'!$B$16</f>
        <v>41729</v>
      </c>
      <c r="I5" s="76">
        <f t="array" ref="I5:I14">TRANSPOSE('Historical FS'!C18:L18)</f>
        <v>13079.9</v>
      </c>
      <c r="J5" s="17" t="s">
        <v>72</v>
      </c>
      <c r="L5" s="8">
        <v>1</v>
      </c>
      <c r="M5" s="75">
        <f>'Data Sheet'!$B$16</f>
        <v>41729</v>
      </c>
      <c r="N5" s="77">
        <f t="array" ref="N5:N14">TRANSPOSE('Historical FS'!C38:L38)</f>
        <v>6.7267514962530797</v>
      </c>
      <c r="O5" s="17" t="s">
        <v>72</v>
      </c>
    </row>
    <row r="6" spans="2:15" x14ac:dyDescent="0.3">
      <c r="B6" s="8">
        <f>B5+1</f>
        <v>2</v>
      </c>
      <c r="C6" s="75">
        <f>C5+365</f>
        <v>42094</v>
      </c>
      <c r="D6" s="76">
        <v>38817.15</v>
      </c>
      <c r="E6" s="74">
        <f>D6/D5-1</f>
        <v>9.9435711851920461E-2</v>
      </c>
      <c r="G6" s="8">
        <f>G5+1</f>
        <v>2</v>
      </c>
      <c r="H6" s="75">
        <f>H5+365</f>
        <v>42094</v>
      </c>
      <c r="I6" s="76">
        <v>14251.620000000004</v>
      </c>
      <c r="J6" s="74">
        <f t="shared" ref="J6:J19" si="0">I6/I5-1</f>
        <v>8.9581724630922732E-2</v>
      </c>
      <c r="L6" s="8">
        <f>L5+1</f>
        <v>2</v>
      </c>
      <c r="M6" s="75">
        <f>M5+365</f>
        <v>42094</v>
      </c>
      <c r="N6" s="77">
        <v>7.0997812580572761</v>
      </c>
      <c r="O6" s="74">
        <f t="shared" ref="O6:O19" si="1">N6/N5-1</f>
        <v>5.5454666641391537E-2</v>
      </c>
    </row>
    <row r="7" spans="2:15" x14ac:dyDescent="0.3">
      <c r="B7" s="8">
        <f t="shared" ref="B7:B21" si="2">B6+1</f>
        <v>3</v>
      </c>
      <c r="C7" s="75">
        <f t="shared" ref="C7:C21" si="3">C6+365</f>
        <v>42459</v>
      </c>
      <c r="D7" s="76">
        <v>39192.1</v>
      </c>
      <c r="E7" s="74">
        <f t="shared" ref="E7:E19" si="4">D7/D6-1</f>
        <v>9.6593902437451806E-3</v>
      </c>
      <c r="G7" s="8">
        <f t="shared" ref="G7:G19" si="5">G6+1</f>
        <v>3</v>
      </c>
      <c r="H7" s="75">
        <f t="shared" ref="H7:H19" si="6">H6+365</f>
        <v>42459</v>
      </c>
      <c r="I7" s="76">
        <v>14531.49</v>
      </c>
      <c r="J7" s="74">
        <f t="shared" si="0"/>
        <v>1.96377674959054E-2</v>
      </c>
      <c r="L7" s="8">
        <f t="shared" ref="L7:L19" si="7">L6+1</f>
        <v>3</v>
      </c>
      <c r="M7" s="75">
        <f t="shared" ref="M7:M19" si="8">M6+365</f>
        <v>42459</v>
      </c>
      <c r="N7" s="77">
        <v>6.6422689465486959</v>
      </c>
      <c r="O7" s="74">
        <f t="shared" si="1"/>
        <v>-6.4440339058244422E-2</v>
      </c>
    </row>
    <row r="8" spans="2:15" x14ac:dyDescent="0.3">
      <c r="B8" s="8">
        <f t="shared" si="2"/>
        <v>4</v>
      </c>
      <c r="C8" s="75">
        <f t="shared" si="3"/>
        <v>42824</v>
      </c>
      <c r="D8" s="76">
        <v>42767.6</v>
      </c>
      <c r="E8" s="74">
        <f t="shared" si="4"/>
        <v>9.1230120355888067E-2</v>
      </c>
      <c r="G8" s="8">
        <f t="shared" si="5"/>
        <v>4</v>
      </c>
      <c r="H8" s="75">
        <f t="shared" si="6"/>
        <v>42824</v>
      </c>
      <c r="I8" s="76">
        <v>15469.51</v>
      </c>
      <c r="J8" s="74">
        <f t="shared" si="0"/>
        <v>6.4550847848362514E-2</v>
      </c>
      <c r="L8" s="8">
        <f t="shared" si="7"/>
        <v>4</v>
      </c>
      <c r="M8" s="75">
        <f t="shared" si="8"/>
        <v>42824</v>
      </c>
      <c r="N8" s="77">
        <v>7.1773383604722003</v>
      </c>
      <c r="O8" s="74">
        <f t="shared" si="1"/>
        <v>8.0555216632943516E-2</v>
      </c>
    </row>
    <row r="9" spans="2:15" x14ac:dyDescent="0.3">
      <c r="B9" s="8">
        <f t="shared" si="2"/>
        <v>5</v>
      </c>
      <c r="C9" s="75">
        <f t="shared" si="3"/>
        <v>43189</v>
      </c>
      <c r="D9" s="76">
        <v>43448.94</v>
      </c>
      <c r="E9" s="74">
        <f t="shared" si="4"/>
        <v>1.5931218960147486E-2</v>
      </c>
      <c r="G9" s="8">
        <f t="shared" si="5"/>
        <v>5</v>
      </c>
      <c r="H9" s="75">
        <f t="shared" si="6"/>
        <v>43189</v>
      </c>
      <c r="I9" s="76">
        <v>16520.590000000004</v>
      </c>
      <c r="J9" s="74">
        <f t="shared" si="0"/>
        <v>6.7945267820377131E-2</v>
      </c>
      <c r="L9" s="8">
        <f t="shared" si="7"/>
        <v>5</v>
      </c>
      <c r="M9" s="75">
        <f t="shared" si="8"/>
        <v>43189</v>
      </c>
      <c r="N9" s="77">
        <v>7.5816474521275303</v>
      </c>
      <c r="O9" s="74">
        <f t="shared" si="1"/>
        <v>5.633134058190481E-2</v>
      </c>
    </row>
    <row r="10" spans="2:15" x14ac:dyDescent="0.3">
      <c r="B10" s="8">
        <f t="shared" si="2"/>
        <v>6</v>
      </c>
      <c r="C10" s="75">
        <f t="shared" si="3"/>
        <v>43554</v>
      </c>
      <c r="D10" s="76">
        <v>48339.58</v>
      </c>
      <c r="E10" s="74">
        <f t="shared" si="4"/>
        <v>0.11256062863673999</v>
      </c>
      <c r="G10" s="8">
        <f t="shared" si="5"/>
        <v>6</v>
      </c>
      <c r="H10" s="75">
        <f t="shared" si="6"/>
        <v>43554</v>
      </c>
      <c r="I10" s="76">
        <v>18537.39</v>
      </c>
      <c r="J10" s="74">
        <f t="shared" si="0"/>
        <v>0.12207796452790087</v>
      </c>
      <c r="L10" s="8">
        <f t="shared" si="7"/>
        <v>6</v>
      </c>
      <c r="M10" s="75">
        <f t="shared" si="8"/>
        <v>43554</v>
      </c>
      <c r="N10" s="77">
        <v>8.7738077757655866</v>
      </c>
      <c r="O10" s="74">
        <f t="shared" si="1"/>
        <v>0.15724291206702268</v>
      </c>
    </row>
    <row r="11" spans="2:15" x14ac:dyDescent="0.3">
      <c r="B11" s="8">
        <f t="shared" si="2"/>
        <v>7</v>
      </c>
      <c r="C11" s="75">
        <f t="shared" si="3"/>
        <v>43919</v>
      </c>
      <c r="D11" s="76">
        <v>49387.7</v>
      </c>
      <c r="E11" s="74">
        <f t="shared" si="4"/>
        <v>2.1682439110972673E-2</v>
      </c>
      <c r="G11" s="8">
        <f t="shared" si="5"/>
        <v>7</v>
      </c>
      <c r="H11" s="75">
        <f t="shared" si="6"/>
        <v>43919</v>
      </c>
      <c r="I11" s="76">
        <v>19343.54</v>
      </c>
      <c r="J11" s="74">
        <f t="shared" si="0"/>
        <v>4.34877833395102E-2</v>
      </c>
      <c r="L11" s="8">
        <f t="shared" si="7"/>
        <v>7</v>
      </c>
      <c r="M11" s="75">
        <f t="shared" si="8"/>
        <v>43919</v>
      </c>
      <c r="N11" s="77">
        <v>10.718553228876848</v>
      </c>
      <c r="O11" s="74">
        <f t="shared" si="1"/>
        <v>0.22165352864042731</v>
      </c>
    </row>
    <row r="12" spans="2:15" x14ac:dyDescent="0.3">
      <c r="B12" s="8">
        <f t="shared" si="2"/>
        <v>8</v>
      </c>
      <c r="C12" s="75">
        <f t="shared" si="3"/>
        <v>44284</v>
      </c>
      <c r="D12" s="76">
        <v>49257.45</v>
      </c>
      <c r="E12" s="74">
        <f t="shared" si="4"/>
        <v>-2.6372963308678443E-3</v>
      </c>
      <c r="G12" s="8">
        <f t="shared" si="5"/>
        <v>8</v>
      </c>
      <c r="H12" s="75">
        <f t="shared" si="6"/>
        <v>44284</v>
      </c>
      <c r="I12" s="76">
        <v>17064.78</v>
      </c>
      <c r="J12" s="74">
        <f t="shared" si="0"/>
        <v>-0.11780470379258412</v>
      </c>
      <c r="L12" s="8">
        <f t="shared" si="7"/>
        <v>8</v>
      </c>
      <c r="M12" s="75">
        <f t="shared" si="8"/>
        <v>44284</v>
      </c>
      <c r="N12" s="77">
        <v>8.7790280124788769</v>
      </c>
      <c r="O12" s="74">
        <f t="shared" si="1"/>
        <v>-0.18095028078721465</v>
      </c>
    </row>
    <row r="13" spans="2:15" x14ac:dyDescent="0.3">
      <c r="B13" s="8">
        <f t="shared" si="2"/>
        <v>9</v>
      </c>
      <c r="C13" s="75">
        <f t="shared" si="3"/>
        <v>44649</v>
      </c>
      <c r="D13" s="76">
        <v>60644.54</v>
      </c>
      <c r="E13" s="74">
        <f t="shared" si="4"/>
        <v>0.23117497962237188</v>
      </c>
      <c r="G13" s="8">
        <f t="shared" si="5"/>
        <v>9</v>
      </c>
      <c r="H13" s="75">
        <f t="shared" si="6"/>
        <v>44649</v>
      </c>
      <c r="I13" s="76">
        <v>20623.149999999994</v>
      </c>
      <c r="J13" s="74">
        <f t="shared" si="0"/>
        <v>0.20852129356487437</v>
      </c>
      <c r="L13" s="8">
        <f t="shared" si="7"/>
        <v>9</v>
      </c>
      <c r="M13" s="75">
        <f t="shared" si="8"/>
        <v>44649</v>
      </c>
      <c r="N13" s="77">
        <v>11.030657372619341</v>
      </c>
      <c r="O13" s="74">
        <f t="shared" si="1"/>
        <v>0.25647820657821163</v>
      </c>
    </row>
    <row r="14" spans="2:15" x14ac:dyDescent="0.3">
      <c r="B14" s="8">
        <f t="shared" si="2"/>
        <v>10</v>
      </c>
      <c r="C14" s="75">
        <f t="shared" si="3"/>
        <v>45014</v>
      </c>
      <c r="D14" s="76">
        <v>70919.03</v>
      </c>
      <c r="E14" s="74">
        <f t="shared" si="4"/>
        <v>0.1694215175842706</v>
      </c>
      <c r="G14" s="8">
        <f t="shared" si="5"/>
        <v>10</v>
      </c>
      <c r="H14" s="75">
        <f t="shared" si="6"/>
        <v>45014</v>
      </c>
      <c r="I14" s="76">
        <v>25704.259999999995</v>
      </c>
      <c r="J14" s="74">
        <f t="shared" si="0"/>
        <v>0.24637894792987503</v>
      </c>
      <c r="L14" s="8">
        <f t="shared" si="7"/>
        <v>10</v>
      </c>
      <c r="M14" s="75">
        <f t="shared" si="8"/>
        <v>45014</v>
      </c>
      <c r="N14" s="77">
        <v>13.983810749919533</v>
      </c>
      <c r="O14" s="74">
        <f t="shared" si="1"/>
        <v>0.26772233762156428</v>
      </c>
    </row>
    <row r="15" spans="2:15" x14ac:dyDescent="0.3">
      <c r="B15" s="81">
        <f t="shared" si="2"/>
        <v>11</v>
      </c>
      <c r="C15" s="82">
        <f t="shared" si="3"/>
        <v>45379</v>
      </c>
      <c r="D15" s="83">
        <f>FORECAST(B15,$D$5:$D$14,$B$5:$B$14)</f>
        <v>66087.479333333336</v>
      </c>
      <c r="E15" s="84">
        <f t="shared" si="4"/>
        <v>-6.8127703758309455E-2</v>
      </c>
      <c r="G15" s="81">
        <f t="shared" si="5"/>
        <v>11</v>
      </c>
      <c r="H15" s="82">
        <f t="shared" si="6"/>
        <v>45379</v>
      </c>
      <c r="I15" s="83">
        <f>FORECAST(G15,$I$5:$I$14,$G$5:$G$14)</f>
        <v>23663.465999999993</v>
      </c>
      <c r="J15" s="84">
        <f t="shared" si="0"/>
        <v>-7.9395166404323758E-2</v>
      </c>
      <c r="L15" s="81">
        <f t="shared" si="7"/>
        <v>11</v>
      </c>
      <c r="M15" s="82">
        <f t="shared" si="8"/>
        <v>45379</v>
      </c>
      <c r="N15" s="85">
        <f>FORECAST(L15,$N$5:$N$14,$L$5:$L$14)</f>
        <v>12.69567334342641</v>
      </c>
      <c r="O15" s="84">
        <f t="shared" si="1"/>
        <v>-9.2116335777823299E-2</v>
      </c>
    </row>
    <row r="16" spans="2:15" x14ac:dyDescent="0.3">
      <c r="B16" s="81">
        <f t="shared" si="2"/>
        <v>12</v>
      </c>
      <c r="C16" s="82">
        <f t="shared" si="3"/>
        <v>45744</v>
      </c>
      <c r="D16" s="83">
        <f t="shared" ref="D16:D19" si="9">FORECAST(B16,$D$5:$D$14,$B$5:$B$14)</f>
        <v>69411.011575757584</v>
      </c>
      <c r="E16" s="84">
        <f t="shared" si="4"/>
        <v>5.028989266879047E-2</v>
      </c>
      <c r="G16" s="81">
        <f t="shared" si="5"/>
        <v>12</v>
      </c>
      <c r="H16" s="82">
        <f t="shared" si="6"/>
        <v>45744</v>
      </c>
      <c r="I16" s="83">
        <f t="shared" ref="I16:I19" si="10">FORECAST(G16,$I$5:$I$14,$G$5:$G$14)</f>
        <v>24781.801090909084</v>
      </c>
      <c r="J16" s="84">
        <f t="shared" si="0"/>
        <v>4.7259986804515153E-2</v>
      </c>
      <c r="L16" s="81">
        <f t="shared" si="7"/>
        <v>12</v>
      </c>
      <c r="M16" s="82">
        <f t="shared" si="8"/>
        <v>45744</v>
      </c>
      <c r="N16" s="85">
        <f t="shared" ref="N16:N19" si="11">FORECAST(L16,$N$5:$N$14,$L$5:$L$14)</f>
        <v>13.394638593992685</v>
      </c>
      <c r="O16" s="84">
        <f t="shared" si="1"/>
        <v>5.5055390262398918E-2</v>
      </c>
    </row>
    <row r="17" spans="2:15" x14ac:dyDescent="0.3">
      <c r="B17" s="81">
        <f t="shared" si="2"/>
        <v>13</v>
      </c>
      <c r="C17" s="82">
        <f t="shared" si="3"/>
        <v>46109</v>
      </c>
      <c r="D17" s="83">
        <f t="shared" si="9"/>
        <v>72734.543818181817</v>
      </c>
      <c r="E17" s="84">
        <f t="shared" si="4"/>
        <v>4.7881916240290145E-2</v>
      </c>
      <c r="G17" s="81">
        <f t="shared" si="5"/>
        <v>13</v>
      </c>
      <c r="H17" s="82">
        <f t="shared" si="6"/>
        <v>46109</v>
      </c>
      <c r="I17" s="83">
        <f t="shared" si="10"/>
        <v>25900.136181818176</v>
      </c>
      <c r="J17" s="84">
        <f t="shared" si="0"/>
        <v>4.5127272501567228E-2</v>
      </c>
      <c r="L17" s="81">
        <f t="shared" si="7"/>
        <v>13</v>
      </c>
      <c r="M17" s="82">
        <f t="shared" si="8"/>
        <v>46109</v>
      </c>
      <c r="N17" s="85">
        <f t="shared" si="11"/>
        <v>14.093603844558961</v>
      </c>
      <c r="O17" s="84">
        <f t="shared" si="1"/>
        <v>5.2182464324177724E-2</v>
      </c>
    </row>
    <row r="18" spans="2:15" x14ac:dyDescent="0.3">
      <c r="B18" s="81">
        <f t="shared" si="2"/>
        <v>14</v>
      </c>
      <c r="C18" s="82">
        <f t="shared" si="3"/>
        <v>46474</v>
      </c>
      <c r="D18" s="83">
        <f t="shared" si="9"/>
        <v>76058.076060606065</v>
      </c>
      <c r="E18" s="84">
        <f t="shared" si="4"/>
        <v>4.5693999961452292E-2</v>
      </c>
      <c r="G18" s="81">
        <f t="shared" si="5"/>
        <v>14</v>
      </c>
      <c r="H18" s="82">
        <f t="shared" si="6"/>
        <v>46474</v>
      </c>
      <c r="I18" s="83">
        <f t="shared" si="10"/>
        <v>27018.471272727264</v>
      </c>
      <c r="J18" s="84">
        <f t="shared" si="0"/>
        <v>4.3178734005814068E-2</v>
      </c>
      <c r="L18" s="81">
        <f t="shared" si="7"/>
        <v>14</v>
      </c>
      <c r="M18" s="82">
        <f t="shared" si="8"/>
        <v>46474</v>
      </c>
      <c r="N18" s="85">
        <f t="shared" si="11"/>
        <v>14.792569095125236</v>
      </c>
      <c r="O18" s="84">
        <f t="shared" si="1"/>
        <v>4.9594501042834471E-2</v>
      </c>
    </row>
    <row r="19" spans="2:15" x14ac:dyDescent="0.3">
      <c r="B19" s="81">
        <f t="shared" si="2"/>
        <v>15</v>
      </c>
      <c r="C19" s="82">
        <f t="shared" si="3"/>
        <v>46839</v>
      </c>
      <c r="D19" s="83">
        <f t="shared" si="9"/>
        <v>79381.608303030313</v>
      </c>
      <c r="E19" s="84">
        <f t="shared" si="4"/>
        <v>4.3697295731960573E-2</v>
      </c>
      <c r="G19" s="81">
        <f t="shared" si="5"/>
        <v>15</v>
      </c>
      <c r="H19" s="82">
        <f t="shared" si="6"/>
        <v>46839</v>
      </c>
      <c r="I19" s="83">
        <f t="shared" si="10"/>
        <v>28136.806363636351</v>
      </c>
      <c r="J19" s="84">
        <f t="shared" si="0"/>
        <v>4.139150137772396E-2</v>
      </c>
      <c r="L19" s="81">
        <f t="shared" si="7"/>
        <v>15</v>
      </c>
      <c r="M19" s="82">
        <f t="shared" si="8"/>
        <v>46839</v>
      </c>
      <c r="N19" s="85">
        <f t="shared" si="11"/>
        <v>15.491534345691512</v>
      </c>
      <c r="O19" s="84">
        <f t="shared" si="1"/>
        <v>4.7251106016237276E-2</v>
      </c>
    </row>
    <row r="20" spans="2:15" x14ac:dyDescent="0.3">
      <c r="B20" s="8"/>
      <c r="C20" s="73"/>
    </row>
    <row r="21" spans="2:15" x14ac:dyDescent="0.3">
      <c r="B21" s="8"/>
      <c r="C21" s="73"/>
    </row>
  </sheetData>
  <mergeCells count="3">
    <mergeCell ref="B3:E3"/>
    <mergeCell ref="G3:J3"/>
    <mergeCell ref="L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D98A-AB73-4F70-A1CA-D0E6D0716B65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5F19-CD94-4018-A96C-1CCA655F381E}">
  <sheetPr>
    <tabColor theme="1"/>
  </sheetPr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showGridLines="0" zoomScaleNormal="100" zoomScalePageLayoutView="120" workbookViewId="0">
      <pane xSplit="1" ySplit="1" topLeftCell="B22" activePane="bottomRight" state="frozen"/>
      <selection activeCell="C4" sqref="C4"/>
      <selection pane="topRight" activeCell="C4" sqref="C4"/>
      <selection pane="bottomLeft" activeCell="C4" sqref="C4"/>
      <selection pane="bottomRight" activeCell="C17" sqref="C17"/>
    </sheetView>
  </sheetViews>
  <sheetFormatPr defaultColWidth="8.77734375" defaultRowHeight="14.4" x14ac:dyDescent="0.3"/>
  <cols>
    <col min="1" max="1" width="27.6640625" style="3" bestFit="1" customWidth="1"/>
    <col min="2" max="11" width="13.44140625" style="3" bestFit="1" customWidth="1"/>
    <col min="12" max="16384" width="8.77734375" style="3"/>
  </cols>
  <sheetData>
    <row r="1" spans="1:11" s="1" customFormat="1" x14ac:dyDescent="0.3">
      <c r="B1" s="1" t="s">
        <v>32</v>
      </c>
      <c r="E1" s="71" t="str">
        <f>IF(B2&lt;&gt;B3, "A NEW VERSION OF THE WORKSHEET IS AVAILABLE", "")</f>
        <v/>
      </c>
      <c r="F1" s="71"/>
      <c r="G1" s="71"/>
      <c r="H1" s="71"/>
      <c r="I1" s="71"/>
      <c r="J1" s="71"/>
      <c r="K1" s="71"/>
    </row>
    <row r="2" spans="1:11" x14ac:dyDescent="0.3">
      <c r="A2" s="1" t="s">
        <v>30</v>
      </c>
      <c r="B2" s="3">
        <v>2.1</v>
      </c>
      <c r="E2" s="72" t="s">
        <v>21</v>
      </c>
      <c r="F2" s="72"/>
      <c r="G2" s="72"/>
      <c r="H2" s="72"/>
      <c r="I2" s="72"/>
      <c r="J2" s="72"/>
      <c r="K2" s="72"/>
    </row>
    <row r="3" spans="1:11" x14ac:dyDescent="0.3">
      <c r="A3" s="1" t="s">
        <v>31</v>
      </c>
      <c r="B3" s="3">
        <v>2.1</v>
      </c>
    </row>
    <row r="4" spans="1:11" x14ac:dyDescent="0.3">
      <c r="A4" s="1"/>
    </row>
    <row r="5" spans="1:11" x14ac:dyDescent="0.3">
      <c r="A5" s="1" t="s">
        <v>33</v>
      </c>
    </row>
    <row r="6" spans="1:11" x14ac:dyDescent="0.3">
      <c r="A6" s="3" t="s">
        <v>27</v>
      </c>
      <c r="B6" s="3">
        <f>IF(B9&gt;0, B9/B8, 0)</f>
        <v>1245.8269633241898</v>
      </c>
    </row>
    <row r="7" spans="1:11" x14ac:dyDescent="0.3">
      <c r="A7" s="3" t="s">
        <v>16</v>
      </c>
      <c r="B7">
        <v>1</v>
      </c>
    </row>
    <row r="8" spans="1:11" x14ac:dyDescent="0.3">
      <c r="A8" s="3" t="s">
        <v>28</v>
      </c>
      <c r="B8">
        <v>492.15</v>
      </c>
    </row>
    <row r="9" spans="1:11" x14ac:dyDescent="0.3">
      <c r="A9" s="3" t="s">
        <v>43</v>
      </c>
      <c r="B9">
        <v>613133.74</v>
      </c>
    </row>
    <row r="15" spans="1:11" x14ac:dyDescent="0.3">
      <c r="A15" s="1" t="s">
        <v>22</v>
      </c>
    </row>
    <row r="16" spans="1:11" s="7" customFormat="1" x14ac:dyDescent="0.3">
      <c r="A16" s="6" t="s">
        <v>23</v>
      </c>
      <c r="B16" s="5">
        <v>41729</v>
      </c>
      <c r="C16" s="5">
        <v>42094</v>
      </c>
      <c r="D16" s="5">
        <v>42460</v>
      </c>
      <c r="E16" s="5">
        <v>42825</v>
      </c>
      <c r="F16" s="5">
        <v>43190</v>
      </c>
      <c r="G16" s="5">
        <v>43555</v>
      </c>
      <c r="H16" s="5">
        <v>43921</v>
      </c>
      <c r="I16" s="5">
        <v>44286</v>
      </c>
      <c r="J16" s="5">
        <v>44651</v>
      </c>
      <c r="K16" s="5">
        <v>45016</v>
      </c>
    </row>
    <row r="17" spans="1:11" s="4" customFormat="1" x14ac:dyDescent="0.3">
      <c r="A17" s="4" t="s">
        <v>0</v>
      </c>
      <c r="B17">
        <v>35306.43</v>
      </c>
      <c r="C17">
        <v>38817.15</v>
      </c>
      <c r="D17">
        <v>39192.1</v>
      </c>
      <c r="E17">
        <v>42767.6</v>
      </c>
      <c r="F17">
        <v>43448.94</v>
      </c>
      <c r="G17">
        <v>48339.58</v>
      </c>
      <c r="H17">
        <v>49387.7</v>
      </c>
      <c r="I17">
        <v>49257.45</v>
      </c>
      <c r="J17">
        <v>60644.54</v>
      </c>
      <c r="K17">
        <v>70919.03</v>
      </c>
    </row>
    <row r="18" spans="1:11" s="4" customFormat="1" x14ac:dyDescent="0.3">
      <c r="A18" s="3" t="s">
        <v>44</v>
      </c>
      <c r="B18">
        <v>13353.03</v>
      </c>
      <c r="C18">
        <v>15007.9</v>
      </c>
      <c r="D18">
        <v>13763.88</v>
      </c>
      <c r="E18">
        <v>15456.59</v>
      </c>
      <c r="F18">
        <v>14827.72</v>
      </c>
      <c r="G18">
        <v>17623.52</v>
      </c>
      <c r="H18">
        <v>18048.599999999999</v>
      </c>
      <c r="I18">
        <v>20776.71</v>
      </c>
      <c r="J18">
        <v>27071.07</v>
      </c>
      <c r="K18">
        <v>29364.36</v>
      </c>
    </row>
    <row r="19" spans="1:11" s="4" customFormat="1" x14ac:dyDescent="0.3">
      <c r="A19" s="3" t="s">
        <v>45</v>
      </c>
      <c r="B19">
        <v>112.74</v>
      </c>
      <c r="C19">
        <v>235.72</v>
      </c>
      <c r="D19">
        <v>195.38</v>
      </c>
      <c r="E19">
        <v>-592.57000000000005</v>
      </c>
      <c r="F19">
        <v>-1027.76</v>
      </c>
      <c r="G19">
        <v>203.19</v>
      </c>
      <c r="H19">
        <v>703.13</v>
      </c>
      <c r="I19">
        <v>645.27</v>
      </c>
      <c r="J19">
        <v>686</v>
      </c>
      <c r="K19">
        <v>358.59</v>
      </c>
    </row>
    <row r="20" spans="1:11" s="4" customFormat="1" x14ac:dyDescent="0.3">
      <c r="A20" s="3" t="s">
        <v>46</v>
      </c>
      <c r="B20">
        <v>644.96</v>
      </c>
      <c r="C20">
        <v>610.66999999999996</v>
      </c>
      <c r="D20">
        <v>571.88</v>
      </c>
      <c r="E20">
        <v>584.33000000000004</v>
      </c>
      <c r="F20">
        <v>653.5</v>
      </c>
      <c r="G20">
        <v>746.73</v>
      </c>
      <c r="H20">
        <v>780.85</v>
      </c>
      <c r="I20">
        <v>699.56</v>
      </c>
      <c r="J20">
        <v>889.77</v>
      </c>
      <c r="K20">
        <v>1232.3399999999999</v>
      </c>
    </row>
    <row r="21" spans="1:11" s="4" customFormat="1" x14ac:dyDescent="0.3">
      <c r="A21" s="3" t="s">
        <v>47</v>
      </c>
      <c r="B21">
        <v>1395.57</v>
      </c>
      <c r="C21">
        <v>1533.25</v>
      </c>
      <c r="D21">
        <v>1581.59</v>
      </c>
      <c r="E21">
        <v>1683.9</v>
      </c>
      <c r="F21">
        <v>1697.62</v>
      </c>
      <c r="G21">
        <v>1871.01</v>
      </c>
      <c r="H21">
        <v>1908.29</v>
      </c>
      <c r="I21">
        <v>1587.18</v>
      </c>
      <c r="J21">
        <v>1887.67</v>
      </c>
      <c r="K21">
        <v>2327.8000000000002</v>
      </c>
    </row>
    <row r="22" spans="1:11" s="4" customFormat="1" x14ac:dyDescent="0.3">
      <c r="A22" s="3" t="s">
        <v>48</v>
      </c>
      <c r="B22">
        <v>2504.2399999999998</v>
      </c>
      <c r="C22">
        <v>2772.28</v>
      </c>
      <c r="D22">
        <v>3440.97</v>
      </c>
      <c r="E22">
        <v>3631.73</v>
      </c>
      <c r="F22">
        <v>3760.9</v>
      </c>
      <c r="G22">
        <v>4177.88</v>
      </c>
      <c r="H22">
        <v>4295.79</v>
      </c>
      <c r="I22">
        <v>4463.33</v>
      </c>
      <c r="J22">
        <v>4890.55</v>
      </c>
      <c r="K22">
        <v>5736.22</v>
      </c>
    </row>
    <row r="23" spans="1:11" s="4" customFormat="1" x14ac:dyDescent="0.3">
      <c r="A23" s="3" t="s">
        <v>49</v>
      </c>
      <c r="B23">
        <v>3361.2</v>
      </c>
      <c r="C23">
        <v>3876.19</v>
      </c>
      <c r="D23">
        <v>4261.78</v>
      </c>
      <c r="E23">
        <v>4179.74</v>
      </c>
      <c r="F23">
        <v>3954.87</v>
      </c>
      <c r="G23">
        <v>4546.3900000000003</v>
      </c>
      <c r="H23">
        <v>4488.63</v>
      </c>
      <c r="I23">
        <v>4236.7700000000004</v>
      </c>
      <c r="J23">
        <v>4858.38</v>
      </c>
      <c r="K23">
        <v>5604.08</v>
      </c>
    </row>
    <row r="24" spans="1:11" s="4" customFormat="1" x14ac:dyDescent="0.3">
      <c r="A24" s="3" t="s">
        <v>50</v>
      </c>
      <c r="B24">
        <v>1080.27</v>
      </c>
      <c r="C24">
        <v>1000.96</v>
      </c>
      <c r="D24">
        <v>1235.8900000000001</v>
      </c>
      <c r="E24">
        <v>1169.23</v>
      </c>
      <c r="F24">
        <v>1005.98</v>
      </c>
      <c r="G24">
        <v>1039.8499999999999</v>
      </c>
      <c r="H24">
        <v>1225.1300000000001</v>
      </c>
      <c r="I24">
        <v>1074.3900000000001</v>
      </c>
      <c r="J24">
        <v>1109.95</v>
      </c>
      <c r="K24">
        <v>1308.56</v>
      </c>
    </row>
    <row r="25" spans="1:11" s="4" customFormat="1" x14ac:dyDescent="0.3">
      <c r="A25" s="4" t="s">
        <v>3</v>
      </c>
      <c r="B25">
        <v>965.74</v>
      </c>
      <c r="C25">
        <v>1229.3499999999999</v>
      </c>
      <c r="D25">
        <v>1483.11</v>
      </c>
      <c r="E25">
        <v>1758.63</v>
      </c>
      <c r="F25">
        <v>2239.81</v>
      </c>
      <c r="G25">
        <v>2080.44</v>
      </c>
      <c r="H25">
        <v>2417.3200000000002</v>
      </c>
      <c r="I25">
        <v>2576.9499999999998</v>
      </c>
      <c r="J25">
        <v>1909.72</v>
      </c>
      <c r="K25">
        <v>2097.64</v>
      </c>
    </row>
    <row r="26" spans="1:11" s="4" customFormat="1" x14ac:dyDescent="0.3">
      <c r="A26" s="4" t="s">
        <v>4</v>
      </c>
      <c r="B26">
        <v>964.92</v>
      </c>
      <c r="C26">
        <v>1027.96</v>
      </c>
      <c r="D26">
        <v>1077.4000000000001</v>
      </c>
      <c r="E26">
        <v>1152.79</v>
      </c>
      <c r="F26">
        <v>1236.28</v>
      </c>
      <c r="G26">
        <v>1396.61</v>
      </c>
      <c r="H26">
        <v>1644.91</v>
      </c>
      <c r="I26">
        <v>1645.59</v>
      </c>
      <c r="J26">
        <v>1732.41</v>
      </c>
      <c r="K26">
        <v>1809.01</v>
      </c>
    </row>
    <row r="27" spans="1:11" s="4" customFormat="1" x14ac:dyDescent="0.3">
      <c r="A27" s="4" t="s">
        <v>5</v>
      </c>
      <c r="B27">
        <v>29.17</v>
      </c>
      <c r="C27">
        <v>90.96</v>
      </c>
      <c r="D27">
        <v>78.13</v>
      </c>
      <c r="E27">
        <v>49.03</v>
      </c>
      <c r="F27">
        <v>115.01</v>
      </c>
      <c r="G27">
        <v>71.400000000000006</v>
      </c>
      <c r="H27">
        <v>81.38</v>
      </c>
      <c r="I27">
        <v>57.97</v>
      </c>
      <c r="J27">
        <v>59.99</v>
      </c>
      <c r="K27">
        <v>77.77</v>
      </c>
    </row>
    <row r="28" spans="1:11" s="4" customFormat="1" x14ac:dyDescent="0.3">
      <c r="A28" s="4" t="s">
        <v>6</v>
      </c>
      <c r="B28">
        <v>13051.55</v>
      </c>
      <c r="C28">
        <v>14362.05</v>
      </c>
      <c r="D28">
        <v>14859.07</v>
      </c>
      <c r="E28">
        <v>16026.32</v>
      </c>
      <c r="F28">
        <v>17409.11</v>
      </c>
      <c r="G28">
        <v>19149.82</v>
      </c>
      <c r="H28">
        <v>20034.57</v>
      </c>
      <c r="I28">
        <v>17938.169999999998</v>
      </c>
      <c r="J28">
        <v>20740.47</v>
      </c>
      <c r="K28">
        <v>25915.119999999999</v>
      </c>
    </row>
    <row r="29" spans="1:11" s="4" customFormat="1" x14ac:dyDescent="0.3">
      <c r="A29" s="4" t="s">
        <v>7</v>
      </c>
      <c r="B29">
        <v>4060.93</v>
      </c>
      <c r="C29">
        <v>4596.42</v>
      </c>
      <c r="D29">
        <v>5358.21</v>
      </c>
      <c r="E29">
        <v>5549.09</v>
      </c>
      <c r="F29">
        <v>5916.43</v>
      </c>
      <c r="G29">
        <v>6313.92</v>
      </c>
      <c r="H29">
        <v>4441.79</v>
      </c>
      <c r="I29">
        <v>4555.29</v>
      </c>
      <c r="J29">
        <v>5237.34</v>
      </c>
      <c r="K29">
        <v>6438.4</v>
      </c>
    </row>
    <row r="30" spans="1:11" s="4" customFormat="1" x14ac:dyDescent="0.3">
      <c r="A30" s="4" t="s">
        <v>8</v>
      </c>
      <c r="B30">
        <v>8891.3799999999992</v>
      </c>
      <c r="C30">
        <v>9663.17</v>
      </c>
      <c r="D30">
        <v>9344.4500000000007</v>
      </c>
      <c r="E30">
        <v>10289.44</v>
      </c>
      <c r="F30">
        <v>11271.2</v>
      </c>
      <c r="G30">
        <v>12592.33</v>
      </c>
      <c r="H30">
        <v>15306.23</v>
      </c>
      <c r="I30">
        <v>13161.19</v>
      </c>
      <c r="J30">
        <v>15242.66</v>
      </c>
      <c r="K30">
        <v>19191.66</v>
      </c>
    </row>
    <row r="31" spans="1:11" s="4" customFormat="1" x14ac:dyDescent="0.3">
      <c r="A31" s="4" t="s">
        <v>34</v>
      </c>
      <c r="B31">
        <v>4771.92</v>
      </c>
      <c r="C31">
        <v>5009.6899999999996</v>
      </c>
      <c r="D31">
        <v>6840.12</v>
      </c>
      <c r="E31">
        <v>5770.02</v>
      </c>
      <c r="F31">
        <v>6285.21</v>
      </c>
      <c r="G31">
        <v>7048.7</v>
      </c>
      <c r="H31">
        <v>12476.58</v>
      </c>
      <c r="I31">
        <v>13231.96</v>
      </c>
      <c r="J31">
        <v>14171.8</v>
      </c>
      <c r="K31">
        <v>19263.400000000001</v>
      </c>
    </row>
    <row r="32" spans="1:11" s="4" customFormat="1" x14ac:dyDescent="0.3"/>
    <row r="33" spans="1:11" x14ac:dyDescent="0.3">
      <c r="A33" s="4"/>
    </row>
    <row r="34" spans="1:11" x14ac:dyDescent="0.3">
      <c r="A34" s="4"/>
    </row>
    <row r="35" spans="1:11" x14ac:dyDescent="0.3">
      <c r="A35" s="4"/>
    </row>
    <row r="36" spans="1:11" x14ac:dyDescent="0.3">
      <c r="A36" s="4"/>
    </row>
    <row r="37" spans="1:11" x14ac:dyDescent="0.3">
      <c r="A37" s="4"/>
    </row>
    <row r="38" spans="1:11" x14ac:dyDescent="0.3">
      <c r="A38" s="4"/>
    </row>
    <row r="39" spans="1:11" x14ac:dyDescent="0.3">
      <c r="A39" s="4"/>
    </row>
    <row r="40" spans="1:11" x14ac:dyDescent="0.3">
      <c r="A40" s="1" t="s">
        <v>24</v>
      </c>
    </row>
    <row r="41" spans="1:11" s="7" customFormat="1" x14ac:dyDescent="0.3">
      <c r="A41" s="6" t="s">
        <v>23</v>
      </c>
      <c r="B41" s="5">
        <v>44196</v>
      </c>
      <c r="C41" s="5">
        <v>44286</v>
      </c>
      <c r="D41" s="5">
        <v>44377</v>
      </c>
      <c r="E41" s="5">
        <v>44469</v>
      </c>
      <c r="F41" s="5">
        <v>44561</v>
      </c>
      <c r="G41" s="5">
        <v>44651</v>
      </c>
      <c r="H41" s="5">
        <v>44742</v>
      </c>
      <c r="I41" s="5">
        <v>44834</v>
      </c>
      <c r="J41" s="5">
        <v>44926</v>
      </c>
      <c r="K41" s="5">
        <v>45016</v>
      </c>
    </row>
    <row r="42" spans="1:11" s="4" customFormat="1" x14ac:dyDescent="0.3">
      <c r="A42" s="4" t="s">
        <v>0</v>
      </c>
      <c r="B42">
        <v>13079.72</v>
      </c>
      <c r="C42">
        <v>14342.27</v>
      </c>
      <c r="D42">
        <v>13247.25</v>
      </c>
      <c r="E42">
        <v>13757.15</v>
      </c>
      <c r="F42">
        <v>17108.16</v>
      </c>
      <c r="G42">
        <v>16555.53</v>
      </c>
      <c r="H42">
        <v>18489.45</v>
      </c>
      <c r="I42">
        <v>17107.990000000002</v>
      </c>
      <c r="J42">
        <v>17704.52</v>
      </c>
      <c r="K42">
        <v>17634.89</v>
      </c>
    </row>
    <row r="43" spans="1:11" s="4" customFormat="1" x14ac:dyDescent="0.3">
      <c r="A43" s="4" t="s">
        <v>1</v>
      </c>
      <c r="B43">
        <v>8294.7000000000007</v>
      </c>
      <c r="C43">
        <v>9471.15</v>
      </c>
      <c r="D43">
        <v>8803.51</v>
      </c>
      <c r="E43">
        <v>8739.5499999999993</v>
      </c>
      <c r="F43">
        <v>11510.49</v>
      </c>
      <c r="G43">
        <v>10956.13</v>
      </c>
      <c r="H43">
        <v>12412.32</v>
      </c>
      <c r="I43">
        <v>10848.89</v>
      </c>
      <c r="J43">
        <v>10999.82</v>
      </c>
      <c r="K43">
        <v>11010.89</v>
      </c>
    </row>
    <row r="44" spans="1:11" s="4" customFormat="1" x14ac:dyDescent="0.3">
      <c r="A44" s="4" t="s">
        <v>3</v>
      </c>
      <c r="B44">
        <v>545.69000000000005</v>
      </c>
      <c r="C44">
        <v>579.49</v>
      </c>
      <c r="D44">
        <v>447.04</v>
      </c>
      <c r="E44">
        <v>468.77</v>
      </c>
      <c r="F44">
        <v>421.92</v>
      </c>
      <c r="G44">
        <v>498.62</v>
      </c>
      <c r="H44">
        <v>320.73</v>
      </c>
      <c r="I44">
        <v>454.68</v>
      </c>
      <c r="J44">
        <v>595.42999999999995</v>
      </c>
      <c r="K44">
        <v>682.52</v>
      </c>
    </row>
    <row r="45" spans="1:11" s="4" customFormat="1" x14ac:dyDescent="0.3">
      <c r="A45" s="4" t="s">
        <v>4</v>
      </c>
      <c r="B45">
        <v>413.49</v>
      </c>
      <c r="C45">
        <v>408.51</v>
      </c>
      <c r="D45">
        <v>414.13</v>
      </c>
      <c r="E45">
        <v>421.73</v>
      </c>
      <c r="F45">
        <v>429.59</v>
      </c>
      <c r="G45">
        <v>466.96</v>
      </c>
      <c r="H45">
        <v>438.12</v>
      </c>
      <c r="I45">
        <v>462.38</v>
      </c>
      <c r="J45">
        <v>447.11</v>
      </c>
      <c r="K45">
        <v>461.4</v>
      </c>
    </row>
    <row r="46" spans="1:11" s="4" customFormat="1" x14ac:dyDescent="0.3">
      <c r="A46" s="4" t="s">
        <v>5</v>
      </c>
      <c r="B46">
        <v>12.61</v>
      </c>
      <c r="C46">
        <v>2.88</v>
      </c>
      <c r="D46">
        <v>9.34</v>
      </c>
      <c r="E46">
        <v>9.75</v>
      </c>
      <c r="F46">
        <v>9.56</v>
      </c>
      <c r="G46">
        <v>10.71</v>
      </c>
      <c r="H46">
        <v>9.25</v>
      </c>
      <c r="I46">
        <v>12.59</v>
      </c>
      <c r="J46">
        <v>9.2100000000000009</v>
      </c>
      <c r="K46">
        <v>12.15</v>
      </c>
    </row>
    <row r="47" spans="1:11" s="4" customFormat="1" x14ac:dyDescent="0.3">
      <c r="A47" s="4" t="s">
        <v>6</v>
      </c>
      <c r="B47">
        <v>4904.6099999999997</v>
      </c>
      <c r="C47">
        <v>5039.22</v>
      </c>
      <c r="D47">
        <v>4467.3100000000004</v>
      </c>
      <c r="E47">
        <v>5054.8900000000003</v>
      </c>
      <c r="F47">
        <v>5580.44</v>
      </c>
      <c r="G47">
        <v>5620.35</v>
      </c>
      <c r="H47">
        <v>5950.49</v>
      </c>
      <c r="I47">
        <v>6238.81</v>
      </c>
      <c r="J47">
        <v>6843.81</v>
      </c>
      <c r="K47">
        <v>6832.97</v>
      </c>
    </row>
    <row r="48" spans="1:11" s="4" customFormat="1" x14ac:dyDescent="0.3">
      <c r="A48" s="4" t="s">
        <v>7</v>
      </c>
      <c r="B48">
        <v>1317.41</v>
      </c>
      <c r="C48">
        <v>1222.3800000000001</v>
      </c>
      <c r="D48">
        <v>1123.8699999999999</v>
      </c>
      <c r="E48">
        <v>1291.1600000000001</v>
      </c>
      <c r="F48">
        <v>1461.64</v>
      </c>
      <c r="G48">
        <v>1360.67</v>
      </c>
      <c r="H48">
        <v>1488.24</v>
      </c>
      <c r="I48">
        <v>1568.49</v>
      </c>
      <c r="J48">
        <v>1773.72</v>
      </c>
      <c r="K48">
        <v>1607.95</v>
      </c>
    </row>
    <row r="49" spans="1:11" s="4" customFormat="1" x14ac:dyDescent="0.3">
      <c r="A49" s="4" t="s">
        <v>8</v>
      </c>
      <c r="B49">
        <v>3526.55</v>
      </c>
      <c r="C49">
        <v>3755.47</v>
      </c>
      <c r="D49">
        <v>3276.48</v>
      </c>
      <c r="E49">
        <v>3713.76</v>
      </c>
      <c r="F49">
        <v>4056.73</v>
      </c>
      <c r="G49">
        <v>4195.6899999999996</v>
      </c>
      <c r="H49">
        <v>4389.76</v>
      </c>
      <c r="I49">
        <v>4619.7700000000004</v>
      </c>
      <c r="J49">
        <v>5006.6499999999996</v>
      </c>
      <c r="K49">
        <v>5175.4799999999996</v>
      </c>
    </row>
    <row r="50" spans="1:11" x14ac:dyDescent="0.3">
      <c r="A50" s="4" t="s">
        <v>2</v>
      </c>
      <c r="B50">
        <v>4785.0200000000004</v>
      </c>
      <c r="C50">
        <v>4871.12</v>
      </c>
      <c r="D50">
        <v>4443.74</v>
      </c>
      <c r="E50">
        <v>5017.6000000000004</v>
      </c>
      <c r="F50">
        <v>5597.67</v>
      </c>
      <c r="G50">
        <v>5599.4</v>
      </c>
      <c r="H50">
        <v>6077.13</v>
      </c>
      <c r="I50">
        <v>6259.1</v>
      </c>
      <c r="J50">
        <v>6704.7</v>
      </c>
      <c r="K50">
        <v>6624</v>
      </c>
    </row>
    <row r="51" spans="1:11" x14ac:dyDescent="0.3">
      <c r="A51" s="4"/>
    </row>
    <row r="52" spans="1:11" x14ac:dyDescent="0.3">
      <c r="A52" s="4"/>
    </row>
    <row r="53" spans="1:11" x14ac:dyDescent="0.3">
      <c r="A53" s="4"/>
    </row>
    <row r="54" spans="1:11" x14ac:dyDescent="0.3">
      <c r="A54" s="4"/>
    </row>
    <row r="55" spans="1:11" x14ac:dyDescent="0.3">
      <c r="A55" s="1" t="s">
        <v>25</v>
      </c>
    </row>
    <row r="56" spans="1:11" s="7" customFormat="1" x14ac:dyDescent="0.3">
      <c r="A56" s="6" t="s">
        <v>23</v>
      </c>
      <c r="B56" s="5">
        <v>41729</v>
      </c>
      <c r="C56" s="5">
        <v>42094</v>
      </c>
      <c r="D56" s="5">
        <v>42460</v>
      </c>
      <c r="E56" s="5">
        <v>42825</v>
      </c>
      <c r="F56" s="5">
        <v>43190</v>
      </c>
      <c r="G56" s="5">
        <v>43555</v>
      </c>
      <c r="H56" s="5">
        <v>43921</v>
      </c>
      <c r="I56" s="5">
        <v>44286</v>
      </c>
      <c r="J56" s="5">
        <v>44651</v>
      </c>
      <c r="K56" s="5">
        <v>45016</v>
      </c>
    </row>
    <row r="57" spans="1:11" x14ac:dyDescent="0.3">
      <c r="A57" s="4" t="s">
        <v>10</v>
      </c>
      <c r="B57">
        <v>795.32</v>
      </c>
      <c r="C57">
        <v>801.55</v>
      </c>
      <c r="D57">
        <v>804.72</v>
      </c>
      <c r="E57">
        <v>1214.74</v>
      </c>
      <c r="F57">
        <v>1220.43</v>
      </c>
      <c r="G57">
        <v>1225.8599999999999</v>
      </c>
      <c r="H57">
        <v>1229.22</v>
      </c>
      <c r="I57">
        <v>1230.8800000000001</v>
      </c>
      <c r="J57">
        <v>1232.33</v>
      </c>
      <c r="K57">
        <v>1242.8</v>
      </c>
    </row>
    <row r="58" spans="1:11" x14ac:dyDescent="0.3">
      <c r="A58" s="4" t="s">
        <v>11</v>
      </c>
      <c r="B58">
        <v>26441.64</v>
      </c>
      <c r="C58">
        <v>30933.94</v>
      </c>
      <c r="D58">
        <v>41874.800000000003</v>
      </c>
      <c r="E58">
        <v>45198.19</v>
      </c>
      <c r="F58">
        <v>51289.68</v>
      </c>
      <c r="G58">
        <v>57915.01</v>
      </c>
      <c r="H58">
        <v>64044.04</v>
      </c>
      <c r="I58">
        <v>59116.46</v>
      </c>
      <c r="J58">
        <v>61223.24</v>
      </c>
      <c r="K58">
        <v>67912.460000000006</v>
      </c>
    </row>
    <row r="59" spans="1:11" x14ac:dyDescent="0.3">
      <c r="A59" s="4" t="s">
        <v>35</v>
      </c>
      <c r="B59">
        <v>242.41</v>
      </c>
      <c r="C59">
        <v>268.8</v>
      </c>
      <c r="D59">
        <v>83.78</v>
      </c>
      <c r="E59">
        <v>45.72</v>
      </c>
      <c r="F59">
        <v>35.92</v>
      </c>
      <c r="G59">
        <v>13.44</v>
      </c>
      <c r="H59">
        <v>277.45</v>
      </c>
      <c r="I59">
        <v>270.83</v>
      </c>
      <c r="J59">
        <v>249.44</v>
      </c>
      <c r="K59">
        <v>306.04000000000002</v>
      </c>
    </row>
    <row r="60" spans="1:11" x14ac:dyDescent="0.3">
      <c r="A60" s="4" t="s">
        <v>36</v>
      </c>
      <c r="B60">
        <v>13369.04</v>
      </c>
      <c r="C60">
        <v>13947.93</v>
      </c>
      <c r="D60">
        <v>8888.0400000000009</v>
      </c>
      <c r="E60">
        <v>9439.67</v>
      </c>
      <c r="F60">
        <v>11694.85</v>
      </c>
      <c r="G60">
        <v>12584.73</v>
      </c>
      <c r="H60">
        <v>11760.04</v>
      </c>
      <c r="I60">
        <v>13142.59</v>
      </c>
      <c r="J60">
        <v>14491.01</v>
      </c>
      <c r="K60">
        <v>16369.66</v>
      </c>
    </row>
    <row r="61" spans="1:11" s="1" customFormat="1" x14ac:dyDescent="0.3">
      <c r="A61" s="1" t="s">
        <v>12</v>
      </c>
      <c r="B61">
        <v>40848.410000000003</v>
      </c>
      <c r="C61">
        <v>45952.22</v>
      </c>
      <c r="D61">
        <v>51651.34</v>
      </c>
      <c r="E61">
        <v>55898.32</v>
      </c>
      <c r="F61">
        <v>64240.88</v>
      </c>
      <c r="G61">
        <v>71739.039999999994</v>
      </c>
      <c r="H61">
        <v>77310.75</v>
      </c>
      <c r="I61">
        <v>73760.759999999995</v>
      </c>
      <c r="J61">
        <v>77196.02</v>
      </c>
      <c r="K61">
        <v>85830.96</v>
      </c>
    </row>
    <row r="62" spans="1:11" x14ac:dyDescent="0.3">
      <c r="A62" s="4" t="s">
        <v>13</v>
      </c>
      <c r="B62">
        <v>12921.3</v>
      </c>
      <c r="C62">
        <v>15303.28</v>
      </c>
      <c r="D62">
        <v>15106.63</v>
      </c>
      <c r="E62">
        <v>15893.48</v>
      </c>
      <c r="F62">
        <v>16523.96</v>
      </c>
      <c r="G62">
        <v>19374.189999999999</v>
      </c>
      <c r="H62">
        <v>21713.34</v>
      </c>
      <c r="I62">
        <v>23298.48</v>
      </c>
      <c r="J62">
        <v>24231.59</v>
      </c>
      <c r="K62">
        <v>25851.27</v>
      </c>
    </row>
    <row r="63" spans="1:11" x14ac:dyDescent="0.3">
      <c r="A63" s="4" t="s">
        <v>14</v>
      </c>
      <c r="B63">
        <v>3117.37</v>
      </c>
      <c r="C63">
        <v>2700.2</v>
      </c>
      <c r="D63">
        <v>2559.7199999999998</v>
      </c>
      <c r="E63">
        <v>3729.89</v>
      </c>
      <c r="F63">
        <v>5508.33</v>
      </c>
      <c r="G63">
        <v>4136.42</v>
      </c>
      <c r="H63">
        <v>3256.46</v>
      </c>
      <c r="I63">
        <v>4011.29</v>
      </c>
      <c r="J63">
        <v>3225.54</v>
      </c>
      <c r="K63">
        <v>3003.3</v>
      </c>
    </row>
    <row r="64" spans="1:11" x14ac:dyDescent="0.3">
      <c r="A64" s="4" t="s">
        <v>15</v>
      </c>
      <c r="B64">
        <v>7284.02</v>
      </c>
      <c r="C64">
        <v>6942.77</v>
      </c>
      <c r="D64">
        <v>11747.59</v>
      </c>
      <c r="E64">
        <v>17581.38</v>
      </c>
      <c r="F64">
        <v>22052.86</v>
      </c>
      <c r="G64">
        <v>25043.49</v>
      </c>
      <c r="H64">
        <v>28663.35</v>
      </c>
      <c r="I64">
        <v>24870.87</v>
      </c>
      <c r="J64">
        <v>24841.01</v>
      </c>
      <c r="K64">
        <v>29415.02</v>
      </c>
    </row>
    <row r="65" spans="1:11" x14ac:dyDescent="0.3">
      <c r="A65" s="4" t="s">
        <v>37</v>
      </c>
      <c r="B65">
        <v>17525.72</v>
      </c>
      <c r="C65">
        <v>21005.97</v>
      </c>
      <c r="D65">
        <v>22237.4</v>
      </c>
      <c r="E65">
        <v>18693.57</v>
      </c>
      <c r="F65">
        <v>20155.73</v>
      </c>
      <c r="G65">
        <v>23184.94</v>
      </c>
      <c r="H65">
        <v>23677.599999999999</v>
      </c>
      <c r="I65">
        <v>21580.12</v>
      </c>
      <c r="J65">
        <v>24897.88</v>
      </c>
      <c r="K65">
        <v>27561.37</v>
      </c>
    </row>
    <row r="66" spans="1:11" s="1" customFormat="1" x14ac:dyDescent="0.3">
      <c r="A66" s="1" t="s">
        <v>12</v>
      </c>
      <c r="B66">
        <v>40848.410000000003</v>
      </c>
      <c r="C66">
        <v>45952.22</v>
      </c>
      <c r="D66">
        <v>51651.34</v>
      </c>
      <c r="E66">
        <v>55898.32</v>
      </c>
      <c r="F66">
        <v>64240.88</v>
      </c>
      <c r="G66">
        <v>71739.039999999994</v>
      </c>
      <c r="H66">
        <v>77310.75</v>
      </c>
      <c r="I66">
        <v>73760.759999999995</v>
      </c>
      <c r="J66">
        <v>77196.02</v>
      </c>
      <c r="K66">
        <v>85830.96</v>
      </c>
    </row>
    <row r="67" spans="1:11" s="4" customFormat="1" x14ac:dyDescent="0.3">
      <c r="A67" s="4" t="s">
        <v>42</v>
      </c>
      <c r="B67">
        <v>2439.21</v>
      </c>
      <c r="C67">
        <v>1982.07</v>
      </c>
      <c r="D67">
        <v>1917.18</v>
      </c>
      <c r="E67">
        <v>2474.29</v>
      </c>
      <c r="F67">
        <v>2682.29</v>
      </c>
      <c r="G67">
        <v>4035.28</v>
      </c>
      <c r="H67">
        <v>2562.48</v>
      </c>
      <c r="I67">
        <v>2501.6999999999998</v>
      </c>
      <c r="J67">
        <v>2461.9</v>
      </c>
      <c r="K67">
        <v>2956.17</v>
      </c>
    </row>
    <row r="68" spans="1:11" x14ac:dyDescent="0.3">
      <c r="A68" s="4" t="s">
        <v>29</v>
      </c>
      <c r="B68">
        <v>8255.24</v>
      </c>
      <c r="C68">
        <v>8586.8700000000008</v>
      </c>
      <c r="D68">
        <v>9062.1</v>
      </c>
      <c r="E68">
        <v>8116.1</v>
      </c>
      <c r="F68">
        <v>7495.09</v>
      </c>
      <c r="G68">
        <v>7859.56</v>
      </c>
      <c r="H68">
        <v>8879.33</v>
      </c>
      <c r="I68">
        <v>10397.16</v>
      </c>
      <c r="J68">
        <v>10864.15</v>
      </c>
      <c r="K68">
        <v>11771.16</v>
      </c>
    </row>
    <row r="69" spans="1:11" x14ac:dyDescent="0.3">
      <c r="A69" s="3" t="s">
        <v>51</v>
      </c>
      <c r="B69">
        <v>3490.19</v>
      </c>
      <c r="C69">
        <v>7896.22</v>
      </c>
      <c r="D69">
        <v>6063.3</v>
      </c>
      <c r="E69">
        <v>2967.4</v>
      </c>
      <c r="F69">
        <v>2899.6</v>
      </c>
      <c r="G69">
        <v>4152.03</v>
      </c>
      <c r="H69">
        <v>7277.34</v>
      </c>
      <c r="I69">
        <v>4659.0200000000004</v>
      </c>
      <c r="J69">
        <v>4654.42</v>
      </c>
      <c r="K69">
        <v>4880.1899999999996</v>
      </c>
    </row>
    <row r="70" spans="1:11" x14ac:dyDescent="0.3">
      <c r="A70" s="3" t="s">
        <v>38</v>
      </c>
      <c r="B70">
        <v>7953182950</v>
      </c>
      <c r="C70">
        <v>8015519541</v>
      </c>
      <c r="D70">
        <v>8047206991</v>
      </c>
      <c r="E70">
        <v>12147383071</v>
      </c>
      <c r="F70">
        <v>12204294911</v>
      </c>
      <c r="G70">
        <v>12258631601</v>
      </c>
      <c r="H70">
        <v>12292231241</v>
      </c>
      <c r="I70">
        <v>12308844231</v>
      </c>
      <c r="J70">
        <v>12323255931</v>
      </c>
      <c r="K70">
        <v>12428017741</v>
      </c>
    </row>
    <row r="71" spans="1:11" x14ac:dyDescent="0.3">
      <c r="A71" s="3" t="s">
        <v>39</v>
      </c>
      <c r="E71">
        <v>4026657100</v>
      </c>
    </row>
    <row r="72" spans="1:11" x14ac:dyDescent="0.3">
      <c r="A72" s="3" t="s">
        <v>52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">
      <c r="A74" s="4"/>
    </row>
    <row r="75" spans="1:11" x14ac:dyDescent="0.3">
      <c r="A75" s="4"/>
    </row>
    <row r="76" spans="1:11" x14ac:dyDescent="0.3">
      <c r="A76" s="4"/>
    </row>
    <row r="77" spans="1:11" x14ac:dyDescent="0.3">
      <c r="A77" s="4"/>
    </row>
    <row r="78" spans="1:11" x14ac:dyDescent="0.3">
      <c r="A78" s="4"/>
    </row>
    <row r="79" spans="1:11" x14ac:dyDescent="0.3">
      <c r="A79" s="4"/>
    </row>
    <row r="80" spans="1:11" x14ac:dyDescent="0.3">
      <c r="A80" s="1" t="s">
        <v>26</v>
      </c>
    </row>
    <row r="81" spans="1:11" s="7" customFormat="1" x14ac:dyDescent="0.3">
      <c r="A81" s="6" t="s">
        <v>23</v>
      </c>
      <c r="B81" s="5">
        <v>41729</v>
      </c>
      <c r="C81" s="5">
        <v>42094</v>
      </c>
      <c r="D81" s="5">
        <v>42460</v>
      </c>
      <c r="E81" s="5">
        <v>42825</v>
      </c>
      <c r="F81" s="5">
        <v>43190</v>
      </c>
      <c r="G81" s="5">
        <v>43555</v>
      </c>
      <c r="H81" s="5">
        <v>43921</v>
      </c>
      <c r="I81" s="5">
        <v>44286</v>
      </c>
      <c r="J81" s="5">
        <v>44651</v>
      </c>
      <c r="K81" s="5">
        <v>45016</v>
      </c>
    </row>
    <row r="82" spans="1:11" s="1" customFormat="1" x14ac:dyDescent="0.3">
      <c r="A82" s="4" t="s">
        <v>17</v>
      </c>
      <c r="B82">
        <v>7343.58</v>
      </c>
      <c r="C82">
        <v>9843.2000000000007</v>
      </c>
      <c r="D82">
        <v>9799.0400000000009</v>
      </c>
      <c r="E82">
        <v>10627.31</v>
      </c>
      <c r="F82">
        <v>13169.4</v>
      </c>
      <c r="G82">
        <v>12583.41</v>
      </c>
      <c r="H82">
        <v>14689.66</v>
      </c>
      <c r="I82">
        <v>12526.97</v>
      </c>
      <c r="J82">
        <v>15775.51</v>
      </c>
      <c r="K82">
        <v>18877.55</v>
      </c>
    </row>
    <row r="83" spans="1:11" s="4" customFormat="1" x14ac:dyDescent="0.3">
      <c r="A83" s="4" t="s">
        <v>18</v>
      </c>
      <c r="B83">
        <v>-3254.08</v>
      </c>
      <c r="C83">
        <v>-5275.43</v>
      </c>
      <c r="D83">
        <v>-3920.73</v>
      </c>
      <c r="E83">
        <v>-3250.93</v>
      </c>
      <c r="F83">
        <v>-7113.89</v>
      </c>
      <c r="G83">
        <v>-5545.68</v>
      </c>
      <c r="H83">
        <v>-6174.02</v>
      </c>
      <c r="I83">
        <v>5739.98</v>
      </c>
      <c r="J83">
        <v>-2238.4899999999998</v>
      </c>
      <c r="K83">
        <v>-5732.29</v>
      </c>
    </row>
    <row r="84" spans="1:11" s="4" customFormat="1" x14ac:dyDescent="0.3">
      <c r="A84" s="4" t="s">
        <v>19</v>
      </c>
      <c r="B84">
        <v>-4121.54</v>
      </c>
      <c r="C84">
        <v>-4661.03</v>
      </c>
      <c r="D84">
        <v>-5612.52</v>
      </c>
      <c r="E84">
        <v>-7301.03</v>
      </c>
      <c r="F84">
        <v>-6221.13</v>
      </c>
      <c r="G84">
        <v>-6868.64</v>
      </c>
      <c r="H84">
        <v>-8181.48</v>
      </c>
      <c r="I84">
        <v>-18633.830000000002</v>
      </c>
      <c r="J84">
        <v>-13580.5</v>
      </c>
      <c r="K84">
        <v>-13006.03</v>
      </c>
    </row>
    <row r="85" spans="1:11" s="1" customFormat="1" x14ac:dyDescent="0.3">
      <c r="A85" s="4" t="s">
        <v>20</v>
      </c>
      <c r="B85">
        <v>-32.04</v>
      </c>
      <c r="C85">
        <v>-93.26</v>
      </c>
      <c r="D85">
        <v>265.79000000000002</v>
      </c>
      <c r="E85">
        <v>75.349999999999994</v>
      </c>
      <c r="F85">
        <v>-165.62</v>
      </c>
      <c r="G85">
        <v>169.09</v>
      </c>
      <c r="H85">
        <v>334.16</v>
      </c>
      <c r="I85">
        <v>-366.88</v>
      </c>
      <c r="J85">
        <v>-43.48</v>
      </c>
      <c r="K85">
        <v>139.22999999999999</v>
      </c>
    </row>
    <row r="86" spans="1:11" x14ac:dyDescent="0.3">
      <c r="A86" s="4"/>
    </row>
    <row r="87" spans="1:11" x14ac:dyDescent="0.3">
      <c r="A87" s="4"/>
    </row>
    <row r="88" spans="1:11" x14ac:dyDescent="0.3">
      <c r="A88" s="4"/>
    </row>
    <row r="89" spans="1:11" x14ac:dyDescent="0.3">
      <c r="A89" s="4"/>
    </row>
    <row r="90" spans="1:11" s="1" customFormat="1" x14ac:dyDescent="0.3">
      <c r="A90" s="1" t="s">
        <v>41</v>
      </c>
      <c r="B90">
        <v>235.23</v>
      </c>
      <c r="C90">
        <v>217.23</v>
      </c>
      <c r="D90">
        <v>218.83</v>
      </c>
      <c r="E90">
        <v>280.3</v>
      </c>
      <c r="F90">
        <v>255.5</v>
      </c>
      <c r="G90">
        <v>297.25</v>
      </c>
      <c r="H90">
        <v>171.7</v>
      </c>
      <c r="I90">
        <v>218.5</v>
      </c>
      <c r="J90">
        <v>250.65</v>
      </c>
      <c r="K90">
        <v>383.5</v>
      </c>
    </row>
    <row r="92" spans="1:11" s="1" customFormat="1" x14ac:dyDescent="0.3">
      <c r="A92" s="1" t="s">
        <v>40</v>
      </c>
    </row>
    <row r="93" spans="1:11" x14ac:dyDescent="0.3">
      <c r="A93" s="3" t="s">
        <v>53</v>
      </c>
      <c r="B93" s="9">
        <v>1192.98</v>
      </c>
      <c r="C93" s="9">
        <v>1202.33</v>
      </c>
      <c r="D93" s="9">
        <v>1207.08</v>
      </c>
      <c r="E93" s="9">
        <v>1214.74</v>
      </c>
      <c r="F93" s="9">
        <v>1220.43</v>
      </c>
      <c r="G93" s="9">
        <v>1225.8599999999999</v>
      </c>
      <c r="H93" s="9">
        <v>1229.22</v>
      </c>
      <c r="I93" s="9">
        <v>1230.8800000000001</v>
      </c>
      <c r="J93" s="9">
        <v>1232.33</v>
      </c>
      <c r="K93" s="9">
        <v>1242.8</v>
      </c>
    </row>
  </sheetData>
  <sheetProtection sheet="1" objects="1" scenarios="1"/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D4A-2993-4F9B-B47C-4C9669C8D086}">
  <dimension ref="B2:N31"/>
  <sheetViews>
    <sheetView workbookViewId="0">
      <selection activeCell="A5" sqref="A5"/>
    </sheetView>
  </sheetViews>
  <sheetFormatPr defaultRowHeight="14.4" x14ac:dyDescent="0.3"/>
  <cols>
    <col min="2" max="2" width="25.77734375" bestFit="1" customWidth="1"/>
    <col min="3" max="12" width="10.77734375" customWidth="1"/>
  </cols>
  <sheetData>
    <row r="2" spans="2:14" x14ac:dyDescent="0.3">
      <c r="C2" s="10">
        <v>40969</v>
      </c>
      <c r="D2" s="10">
        <v>41334</v>
      </c>
      <c r="E2" s="10">
        <v>41699</v>
      </c>
      <c r="F2" s="10">
        <v>42064</v>
      </c>
      <c r="G2" s="10">
        <v>42430</v>
      </c>
      <c r="H2" s="10">
        <v>42795</v>
      </c>
      <c r="I2" s="10">
        <v>43160</v>
      </c>
      <c r="J2" s="10">
        <v>43525</v>
      </c>
      <c r="K2" s="10">
        <v>43891</v>
      </c>
      <c r="L2" s="10">
        <v>44256</v>
      </c>
      <c r="M2" s="10">
        <v>44621</v>
      </c>
      <c r="N2" s="10">
        <v>44986</v>
      </c>
    </row>
    <row r="3" spans="2:14" x14ac:dyDescent="0.3">
      <c r="B3" s="2" t="s">
        <v>87</v>
      </c>
      <c r="C3" s="30">
        <v>6256</v>
      </c>
      <c r="D3" s="30">
        <v>7102</v>
      </c>
      <c r="E3" s="30">
        <v>7344</v>
      </c>
      <c r="F3" s="30">
        <v>9843</v>
      </c>
      <c r="G3" s="30">
        <v>9799</v>
      </c>
      <c r="H3" s="30">
        <v>10627</v>
      </c>
      <c r="I3" s="30">
        <v>13169</v>
      </c>
      <c r="J3" s="30">
        <v>12583</v>
      </c>
      <c r="K3" s="30">
        <v>14690</v>
      </c>
      <c r="L3" s="30">
        <v>12527</v>
      </c>
      <c r="M3" s="29">
        <v>15776</v>
      </c>
      <c r="N3" s="29">
        <v>18878</v>
      </c>
    </row>
    <row r="4" spans="2:14" x14ac:dyDescent="0.3">
      <c r="B4" t="s">
        <v>88</v>
      </c>
      <c r="C4" s="29">
        <v>9244</v>
      </c>
      <c r="D4" s="29">
        <v>11218</v>
      </c>
      <c r="E4" s="29">
        <v>13172</v>
      </c>
      <c r="F4" s="29">
        <v>14261</v>
      </c>
      <c r="G4" s="29">
        <v>15154</v>
      </c>
      <c r="H4" s="29">
        <v>16075</v>
      </c>
      <c r="I4" s="29">
        <v>17433</v>
      </c>
      <c r="J4" s="29">
        <v>18862</v>
      </c>
      <c r="K4" s="29">
        <v>19416</v>
      </c>
      <c r="L4" s="29">
        <v>17326</v>
      </c>
      <c r="M4" s="29">
        <v>20857</v>
      </c>
      <c r="N4" s="29">
        <v>25895</v>
      </c>
    </row>
    <row r="5" spans="2:14" x14ac:dyDescent="0.3">
      <c r="B5" t="s">
        <v>42</v>
      </c>
      <c r="C5">
        <v>-357</v>
      </c>
      <c r="D5" s="29">
        <v>-446</v>
      </c>
      <c r="E5" s="29">
        <v>-1546</v>
      </c>
      <c r="F5" s="29">
        <v>558</v>
      </c>
      <c r="G5" s="29">
        <v>-207</v>
      </c>
      <c r="H5" s="29">
        <v>-870</v>
      </c>
      <c r="I5" s="29">
        <v>-964</v>
      </c>
      <c r="J5" s="29">
        <v>-755</v>
      </c>
      <c r="K5" s="29">
        <v>1411</v>
      </c>
      <c r="L5" s="29">
        <v>-66</v>
      </c>
      <c r="M5">
        <v>-732</v>
      </c>
      <c r="N5">
        <v>-884</v>
      </c>
    </row>
    <row r="6" spans="2:14" x14ac:dyDescent="0.3">
      <c r="B6" t="s">
        <v>29</v>
      </c>
      <c r="C6" s="29">
        <v>-408</v>
      </c>
      <c r="D6" s="29">
        <v>-985</v>
      </c>
      <c r="E6" s="29">
        <v>-755</v>
      </c>
      <c r="F6" s="29">
        <v>-505</v>
      </c>
      <c r="G6" s="29">
        <v>-693</v>
      </c>
      <c r="H6" s="29">
        <v>593</v>
      </c>
      <c r="I6" s="29">
        <v>602</v>
      </c>
      <c r="J6" s="29">
        <v>-359</v>
      </c>
      <c r="K6">
        <v>-508</v>
      </c>
      <c r="L6" s="29">
        <v>-1460</v>
      </c>
      <c r="M6">
        <v>-466</v>
      </c>
      <c r="N6">
        <v>-941</v>
      </c>
    </row>
    <row r="7" spans="2:14" x14ac:dyDescent="0.3">
      <c r="B7" t="s">
        <v>89</v>
      </c>
      <c r="C7" s="29">
        <v>193</v>
      </c>
      <c r="D7" s="29">
        <v>0</v>
      </c>
      <c r="E7" s="29">
        <v>456</v>
      </c>
      <c r="F7" s="29">
        <v>-23</v>
      </c>
      <c r="G7" s="29">
        <v>622</v>
      </c>
      <c r="H7" s="29">
        <v>321</v>
      </c>
      <c r="I7" s="29">
        <v>2098</v>
      </c>
      <c r="J7" s="29">
        <v>639</v>
      </c>
      <c r="K7" s="29">
        <v>-607</v>
      </c>
      <c r="L7" s="29">
        <v>1112</v>
      </c>
      <c r="M7" s="29">
        <v>1099</v>
      </c>
      <c r="N7" s="29">
        <v>1058</v>
      </c>
    </row>
    <row r="8" spans="2:14" x14ac:dyDescent="0.3">
      <c r="B8" t="s">
        <v>91</v>
      </c>
      <c r="C8">
        <v>0</v>
      </c>
      <c r="D8">
        <v>331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3">
      <c r="B9" t="s">
        <v>92</v>
      </c>
      <c r="C9" s="29">
        <v>-573</v>
      </c>
      <c r="D9" s="29">
        <v>-1101</v>
      </c>
      <c r="E9" s="29">
        <v>-1844</v>
      </c>
      <c r="F9" s="29">
        <v>31</v>
      </c>
      <c r="G9">
        <v>-277</v>
      </c>
      <c r="H9" s="29">
        <v>44</v>
      </c>
      <c r="I9" s="29">
        <v>1736</v>
      </c>
      <c r="J9" s="29">
        <v>-476</v>
      </c>
      <c r="K9" s="29">
        <v>296</v>
      </c>
      <c r="L9" s="29">
        <v>-413</v>
      </c>
      <c r="M9">
        <v>-100</v>
      </c>
      <c r="N9">
        <v>-767</v>
      </c>
    </row>
    <row r="10" spans="2:14" x14ac:dyDescent="0.3">
      <c r="B10" t="s">
        <v>93</v>
      </c>
      <c r="C10" s="29">
        <v>-2415</v>
      </c>
      <c r="D10" s="29">
        <v>-3015</v>
      </c>
      <c r="E10" s="29">
        <v>-3984</v>
      </c>
      <c r="F10" s="29">
        <v>-4449</v>
      </c>
      <c r="G10" s="29">
        <v>-5078</v>
      </c>
      <c r="H10" s="29">
        <v>-5492</v>
      </c>
      <c r="I10" s="29">
        <v>-6000</v>
      </c>
      <c r="J10" s="29">
        <v>-5803</v>
      </c>
      <c r="K10" s="29">
        <v>-5023</v>
      </c>
      <c r="L10" s="29">
        <v>-4387</v>
      </c>
      <c r="M10" s="29">
        <v>-4982</v>
      </c>
      <c r="N10" s="29">
        <v>-6250</v>
      </c>
    </row>
    <row r="11" spans="2:14" x14ac:dyDescent="0.3">
      <c r="B11" s="2" t="s">
        <v>94</v>
      </c>
      <c r="C11" s="30">
        <v>-2694</v>
      </c>
      <c r="D11" s="30">
        <v>-3881</v>
      </c>
      <c r="E11" s="30">
        <v>-3254</v>
      </c>
      <c r="F11" s="30">
        <v>-5275</v>
      </c>
      <c r="G11" s="30">
        <v>-3921</v>
      </c>
      <c r="H11" s="30">
        <v>-3251</v>
      </c>
      <c r="I11" s="30">
        <v>-7114</v>
      </c>
      <c r="J11" s="30">
        <v>-5546</v>
      </c>
      <c r="K11" s="30">
        <v>-6174</v>
      </c>
      <c r="L11" s="30">
        <v>5740</v>
      </c>
      <c r="M11" s="30">
        <v>-2238</v>
      </c>
      <c r="N11" s="30">
        <v>-5732</v>
      </c>
    </row>
    <row r="12" spans="2:14" x14ac:dyDescent="0.3">
      <c r="B12" t="s">
        <v>95</v>
      </c>
      <c r="C12" s="29">
        <v>-2468</v>
      </c>
      <c r="D12" s="29">
        <v>-2644</v>
      </c>
      <c r="E12" s="29">
        <v>-2887</v>
      </c>
      <c r="F12" s="29">
        <v>-3300</v>
      </c>
      <c r="G12" s="29">
        <v>-2348</v>
      </c>
      <c r="H12" s="29">
        <v>-3122</v>
      </c>
      <c r="I12" s="29">
        <v>-2878</v>
      </c>
      <c r="J12" s="29">
        <v>-3169</v>
      </c>
      <c r="K12" s="29">
        <v>-2441</v>
      </c>
      <c r="L12" s="29">
        <v>-1837</v>
      </c>
      <c r="M12" s="29">
        <v>-2142</v>
      </c>
      <c r="N12" s="29">
        <v>-2743</v>
      </c>
    </row>
    <row r="13" spans="2:14" x14ac:dyDescent="0.3">
      <c r="B13" t="s">
        <v>96</v>
      </c>
      <c r="C13" s="29">
        <v>59</v>
      </c>
      <c r="D13" s="29">
        <v>10</v>
      </c>
      <c r="E13" s="29">
        <v>38</v>
      </c>
      <c r="F13" s="29">
        <v>9</v>
      </c>
      <c r="G13" s="29">
        <v>8</v>
      </c>
      <c r="H13" s="29">
        <v>50</v>
      </c>
      <c r="I13" s="29">
        <v>80</v>
      </c>
      <c r="J13" s="29">
        <v>28</v>
      </c>
      <c r="K13" s="29">
        <v>27</v>
      </c>
      <c r="L13" s="29">
        <v>3</v>
      </c>
      <c r="M13">
        <v>133</v>
      </c>
      <c r="N13">
        <v>49</v>
      </c>
    </row>
    <row r="14" spans="2:14" x14ac:dyDescent="0.3">
      <c r="B14" t="s">
        <v>97</v>
      </c>
      <c r="C14" s="29">
        <v>-54269</v>
      </c>
      <c r="D14" s="29">
        <v>-75713</v>
      </c>
      <c r="E14" s="29">
        <v>-94242</v>
      </c>
      <c r="F14" s="29">
        <v>-98742</v>
      </c>
      <c r="G14" s="29">
        <v>-154081</v>
      </c>
      <c r="H14" s="29">
        <v>-85683</v>
      </c>
      <c r="I14" s="29">
        <v>-98330</v>
      </c>
      <c r="J14" s="29">
        <v>-94187</v>
      </c>
      <c r="K14" s="29">
        <v>-79835</v>
      </c>
      <c r="L14" s="29">
        <v>-57553</v>
      </c>
      <c r="M14" s="29">
        <v>-69776</v>
      </c>
      <c r="N14" s="29">
        <v>-80932</v>
      </c>
    </row>
    <row r="15" spans="2:14" x14ac:dyDescent="0.3">
      <c r="B15" t="s">
        <v>98</v>
      </c>
      <c r="C15" s="29">
        <v>53879</v>
      </c>
      <c r="D15" s="29">
        <v>75152</v>
      </c>
      <c r="E15" s="29">
        <v>93293</v>
      </c>
      <c r="F15" s="29">
        <v>99658</v>
      </c>
      <c r="G15" s="29">
        <v>150651</v>
      </c>
      <c r="H15" s="29">
        <v>81034</v>
      </c>
      <c r="I15" s="29">
        <v>95017</v>
      </c>
      <c r="J15" s="29">
        <v>92454</v>
      </c>
      <c r="K15" s="29">
        <v>75835</v>
      </c>
      <c r="L15" s="29">
        <v>62797</v>
      </c>
      <c r="M15" s="29">
        <v>70992</v>
      </c>
      <c r="N15" s="29">
        <v>77230</v>
      </c>
    </row>
    <row r="16" spans="2:14" x14ac:dyDescent="0.3">
      <c r="B16" t="s">
        <v>99</v>
      </c>
      <c r="C16">
        <v>302</v>
      </c>
      <c r="D16">
        <v>265</v>
      </c>
      <c r="E16">
        <v>374</v>
      </c>
      <c r="F16" s="29">
        <v>559</v>
      </c>
      <c r="G16" s="29">
        <v>741</v>
      </c>
      <c r="H16" s="29">
        <v>756</v>
      </c>
      <c r="I16">
        <v>736</v>
      </c>
      <c r="J16" s="29">
        <v>1184</v>
      </c>
      <c r="K16" s="29">
        <v>1513</v>
      </c>
      <c r="L16" s="29">
        <v>1275</v>
      </c>
      <c r="M16" s="29">
        <v>1035</v>
      </c>
      <c r="N16" s="29">
        <v>1324</v>
      </c>
    </row>
    <row r="17" spans="2:14" x14ac:dyDescent="0.3">
      <c r="B17" t="s">
        <v>100</v>
      </c>
      <c r="C17">
        <v>241</v>
      </c>
      <c r="D17">
        <v>249</v>
      </c>
      <c r="E17">
        <v>192</v>
      </c>
      <c r="F17">
        <v>268</v>
      </c>
      <c r="G17">
        <v>64</v>
      </c>
      <c r="H17">
        <v>4</v>
      </c>
      <c r="I17" s="29">
        <v>13</v>
      </c>
      <c r="J17">
        <v>13</v>
      </c>
      <c r="K17">
        <v>17</v>
      </c>
      <c r="L17">
        <v>7</v>
      </c>
      <c r="M17">
        <v>16</v>
      </c>
      <c r="N17">
        <v>19</v>
      </c>
    </row>
    <row r="18" spans="2:14" x14ac:dyDescent="0.3">
      <c r="B18" t="s">
        <v>101</v>
      </c>
      <c r="C18">
        <v>0</v>
      </c>
      <c r="D18">
        <v>0</v>
      </c>
      <c r="E18">
        <v>0</v>
      </c>
      <c r="F18">
        <v>0</v>
      </c>
      <c r="G18" s="29">
        <v>-8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 x14ac:dyDescent="0.3">
      <c r="B19" t="s">
        <v>102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-2</v>
      </c>
      <c r="M19">
        <v>-2</v>
      </c>
      <c r="N19">
        <v>-2</v>
      </c>
    </row>
    <row r="20" spans="2:14" x14ac:dyDescent="0.3">
      <c r="B20" t="s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129</v>
      </c>
      <c r="I20">
        <v>18</v>
      </c>
      <c r="J20">
        <v>18</v>
      </c>
      <c r="K20">
        <v>0</v>
      </c>
      <c r="L20">
        <v>0</v>
      </c>
      <c r="M20">
        <v>0</v>
      </c>
      <c r="N20">
        <v>56</v>
      </c>
    </row>
    <row r="21" spans="2:14" x14ac:dyDescent="0.3">
      <c r="B21" t="s">
        <v>106</v>
      </c>
      <c r="C21">
        <v>-438</v>
      </c>
      <c r="D21" s="29">
        <v>-1200</v>
      </c>
      <c r="E21">
        <v>-21</v>
      </c>
      <c r="F21" s="29">
        <v>-3728</v>
      </c>
      <c r="G21" s="29">
        <v>1052</v>
      </c>
      <c r="H21" s="29">
        <v>3579</v>
      </c>
      <c r="I21" s="29">
        <v>-1769</v>
      </c>
      <c r="J21" s="29">
        <v>-1887</v>
      </c>
      <c r="K21" s="29">
        <v>-1290</v>
      </c>
      <c r="L21" s="29">
        <v>1051</v>
      </c>
      <c r="M21" s="29">
        <v>-2494</v>
      </c>
      <c r="N21">
        <v>-733</v>
      </c>
    </row>
    <row r="23" spans="2:14" x14ac:dyDescent="0.3">
      <c r="B23" s="2" t="s">
        <v>107</v>
      </c>
      <c r="C23" s="30">
        <v>-3305</v>
      </c>
      <c r="D23" s="30">
        <v>-3310</v>
      </c>
      <c r="E23" s="30">
        <v>-4122</v>
      </c>
      <c r="F23" s="30">
        <v>-4661</v>
      </c>
      <c r="G23" s="30">
        <v>-5613</v>
      </c>
      <c r="H23" s="30">
        <v>-7301</v>
      </c>
      <c r="I23" s="30">
        <v>-6221</v>
      </c>
      <c r="J23" s="30">
        <v>-6869</v>
      </c>
      <c r="K23" s="30">
        <v>-8181</v>
      </c>
      <c r="L23" s="30">
        <v>-18634</v>
      </c>
      <c r="M23" s="30">
        <v>-13580</v>
      </c>
      <c r="N23" s="30">
        <v>-13006</v>
      </c>
    </row>
    <row r="24" spans="2:14" x14ac:dyDescent="0.3">
      <c r="B24" t="s">
        <v>108</v>
      </c>
      <c r="C24">
        <v>765</v>
      </c>
      <c r="D24">
        <v>922</v>
      </c>
      <c r="E24">
        <v>691</v>
      </c>
      <c r="F24">
        <v>979</v>
      </c>
      <c r="G24">
        <v>532</v>
      </c>
      <c r="H24" s="29">
        <v>1067</v>
      </c>
      <c r="I24">
        <v>913</v>
      </c>
      <c r="J24">
        <v>969</v>
      </c>
      <c r="K24">
        <v>625</v>
      </c>
      <c r="L24">
        <v>291</v>
      </c>
      <c r="M24">
        <v>292</v>
      </c>
      <c r="N24" s="29">
        <v>2477</v>
      </c>
    </row>
    <row r="25" spans="2:14" x14ac:dyDescent="0.3">
      <c r="B25" t="s">
        <v>109</v>
      </c>
      <c r="C25">
        <v>28</v>
      </c>
      <c r="D25">
        <v>-2</v>
      </c>
      <c r="E25">
        <v>156</v>
      </c>
      <c r="F25">
        <v>7</v>
      </c>
      <c r="G25">
        <v>0</v>
      </c>
      <c r="H25">
        <v>0</v>
      </c>
      <c r="I25">
        <v>11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2:14" x14ac:dyDescent="0.3">
      <c r="B26" t="s">
        <v>110</v>
      </c>
      <c r="C26">
        <v>-33</v>
      </c>
      <c r="D26">
        <v>-12</v>
      </c>
      <c r="E26">
        <v>-15</v>
      </c>
      <c r="F26">
        <v>-20</v>
      </c>
      <c r="G26">
        <v>-13</v>
      </c>
      <c r="H26">
        <v>-13</v>
      </c>
      <c r="I26">
        <v>-8</v>
      </c>
      <c r="J26">
        <v>-18</v>
      </c>
      <c r="K26">
        <v>-3</v>
      </c>
      <c r="L26">
        <v>-2</v>
      </c>
      <c r="M26">
        <v>-1</v>
      </c>
      <c r="N26">
        <v>-1</v>
      </c>
    </row>
    <row r="27" spans="2:14" x14ac:dyDescent="0.3">
      <c r="B27" t="s">
        <v>111</v>
      </c>
      <c r="C27">
        <v>-19</v>
      </c>
      <c r="D27">
        <v>-71</v>
      </c>
      <c r="E27">
        <v>-48</v>
      </c>
      <c r="F27">
        <v>-16</v>
      </c>
      <c r="G27">
        <v>-28</v>
      </c>
      <c r="H27">
        <v>-25</v>
      </c>
      <c r="I27">
        <v>-49</v>
      </c>
      <c r="J27">
        <v>-98</v>
      </c>
      <c r="K27">
        <v>-44</v>
      </c>
      <c r="L27">
        <v>-41</v>
      </c>
      <c r="M27">
        <v>-40</v>
      </c>
      <c r="N27">
        <v>-41</v>
      </c>
    </row>
    <row r="28" spans="2:14" x14ac:dyDescent="0.3">
      <c r="B28" t="s">
        <v>112</v>
      </c>
      <c r="C28" s="29">
        <v>-3503</v>
      </c>
      <c r="D28" s="29">
        <v>-3592</v>
      </c>
      <c r="E28" s="29">
        <v>-4239</v>
      </c>
      <c r="F28" s="29">
        <v>-4876</v>
      </c>
      <c r="G28" s="29">
        <v>-5133</v>
      </c>
      <c r="H28" s="29">
        <v>-6994</v>
      </c>
      <c r="I28" s="29">
        <v>-5952</v>
      </c>
      <c r="J28" s="29">
        <v>-6519</v>
      </c>
      <c r="K28" s="29">
        <v>-7302</v>
      </c>
      <c r="L28" s="29">
        <v>-18881</v>
      </c>
      <c r="M28" s="29">
        <v>-13788</v>
      </c>
      <c r="N28" s="29">
        <v>-15418</v>
      </c>
    </row>
    <row r="29" spans="2:14" x14ac:dyDescent="0.3">
      <c r="B29" t="s">
        <v>113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-49</v>
      </c>
      <c r="L29">
        <v>-55</v>
      </c>
      <c r="M29">
        <v>-59</v>
      </c>
      <c r="N29">
        <v>-59</v>
      </c>
    </row>
    <row r="30" spans="2:14" x14ac:dyDescent="0.3">
      <c r="B30" t="s">
        <v>114</v>
      </c>
      <c r="C30">
        <v>-542</v>
      </c>
      <c r="D30">
        <v>-556</v>
      </c>
      <c r="E30">
        <v>-667</v>
      </c>
      <c r="F30">
        <v>-734</v>
      </c>
      <c r="G30">
        <v>-971</v>
      </c>
      <c r="H30" s="29">
        <v>-1335</v>
      </c>
      <c r="I30" s="29">
        <v>-1136</v>
      </c>
      <c r="J30" s="29">
        <v>-1203</v>
      </c>
      <c r="K30" s="29">
        <v>-1409</v>
      </c>
      <c r="L30">
        <v>55</v>
      </c>
      <c r="M30">
        <v>15</v>
      </c>
      <c r="N30">
        <v>35</v>
      </c>
    </row>
    <row r="31" spans="2:14" x14ac:dyDescent="0.3">
      <c r="B31" s="2" t="s">
        <v>20</v>
      </c>
      <c r="C31" s="2">
        <v>257</v>
      </c>
      <c r="D31" s="2">
        <v>-90</v>
      </c>
      <c r="E31" s="2">
        <v>-32</v>
      </c>
      <c r="F31" s="2">
        <v>-93</v>
      </c>
      <c r="G31" s="2">
        <v>266</v>
      </c>
      <c r="H31" s="2">
        <v>75</v>
      </c>
      <c r="I31" s="2">
        <v>-166</v>
      </c>
      <c r="J31" s="2">
        <v>169</v>
      </c>
      <c r="K31" s="2">
        <v>334</v>
      </c>
      <c r="L31" s="2">
        <v>-367</v>
      </c>
      <c r="M31" s="2">
        <v>-43</v>
      </c>
      <c r="N31" s="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Financials</vt:lpstr>
      <vt:lpstr>Historical FS</vt:lpstr>
      <vt:lpstr>Ratio Analysis</vt:lpstr>
      <vt:lpstr>Forecasting</vt:lpstr>
      <vt:lpstr>Peer Analysis</vt:lpstr>
      <vt:lpstr>Data</vt:lpstr>
      <vt:lpstr>Data Sheet</vt:lpstr>
      <vt:lpstr>Cash Flow Data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Aniruddha</cp:lastModifiedBy>
  <cp:lastPrinted>2012-12-06T18:14:13Z</cp:lastPrinted>
  <dcterms:created xsi:type="dcterms:W3CDTF">2012-08-17T09:55:37Z</dcterms:created>
  <dcterms:modified xsi:type="dcterms:W3CDTF">2023-07-21T17:18:30Z</dcterms:modified>
</cp:coreProperties>
</file>