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13_ncr:1_{78933B22-5DFD-4D34-865D-7731ED52868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Financials" sheetId="8" r:id="rId1"/>
    <sheet name="Historical FS" sheetId="7" r:id="rId2"/>
    <sheet name="Ratio Analysis" sheetId="11" r:id="rId3"/>
    <sheet name="Forecasting" sheetId="12" r:id="rId4"/>
    <sheet name="Peer Analysis" sheetId="13" r:id="rId5"/>
    <sheet name="Data" sheetId="9" r:id="rId6"/>
    <sheet name="Data Sheet" sheetId="6" r:id="rId7"/>
    <sheet name="Cash Flow Data" sheetId="10" r:id="rId8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12" l="1" a="1"/>
  <c r="N6" i="12" s="1"/>
  <c r="N12" i="12"/>
  <c r="N13" i="12"/>
  <c r="I6" i="12" a="1"/>
  <c r="I7" i="12" s="1"/>
  <c r="D6" i="12" a="1"/>
  <c r="D7" i="12" s="1"/>
  <c r="L97" i="7"/>
  <c r="K97" i="7"/>
  <c r="J97" i="7"/>
  <c r="I97" i="7"/>
  <c r="H97" i="7"/>
  <c r="G97" i="7"/>
  <c r="F97" i="7"/>
  <c r="E97" i="7"/>
  <c r="D97" i="7"/>
  <c r="C97" i="7"/>
  <c r="L96" i="7"/>
  <c r="K96" i="7"/>
  <c r="J96" i="7"/>
  <c r="I96" i="7"/>
  <c r="H96" i="7"/>
  <c r="G96" i="7"/>
  <c r="F96" i="7"/>
  <c r="E96" i="7"/>
  <c r="D96" i="7"/>
  <c r="C96" i="7"/>
  <c r="L95" i="7"/>
  <c r="K95" i="7"/>
  <c r="J95" i="7"/>
  <c r="I95" i="7"/>
  <c r="H95" i="7"/>
  <c r="G95" i="7"/>
  <c r="F95" i="7"/>
  <c r="E95" i="7"/>
  <c r="D95" i="7"/>
  <c r="C95" i="7"/>
  <c r="L94" i="7"/>
  <c r="K94" i="7"/>
  <c r="J94" i="7"/>
  <c r="I94" i="7"/>
  <c r="H94" i="7"/>
  <c r="G94" i="7"/>
  <c r="F94" i="7"/>
  <c r="E94" i="7"/>
  <c r="D94" i="7"/>
  <c r="C94" i="7"/>
  <c r="L93" i="7"/>
  <c r="K93" i="7"/>
  <c r="J93" i="7"/>
  <c r="I93" i="7"/>
  <c r="H93" i="7"/>
  <c r="G93" i="7"/>
  <c r="F93" i="7"/>
  <c r="E93" i="7"/>
  <c r="D93" i="7"/>
  <c r="C93" i="7"/>
  <c r="L92" i="7"/>
  <c r="K92" i="7"/>
  <c r="J92" i="7"/>
  <c r="I92" i="7"/>
  <c r="H92" i="7"/>
  <c r="G92" i="7"/>
  <c r="F92" i="7"/>
  <c r="E92" i="7"/>
  <c r="D92" i="7"/>
  <c r="C92" i="7"/>
  <c r="L91" i="7"/>
  <c r="K91" i="7"/>
  <c r="J91" i="7"/>
  <c r="I91" i="7"/>
  <c r="H91" i="7"/>
  <c r="G91" i="7"/>
  <c r="F91" i="7"/>
  <c r="E91" i="7"/>
  <c r="D91" i="7"/>
  <c r="C91" i="7"/>
  <c r="L90" i="7"/>
  <c r="K90" i="7"/>
  <c r="J90" i="7"/>
  <c r="I90" i="7"/>
  <c r="H90" i="7"/>
  <c r="G90" i="7"/>
  <c r="F90" i="7"/>
  <c r="E90" i="7"/>
  <c r="D90" i="7"/>
  <c r="C90" i="7"/>
  <c r="L86" i="7"/>
  <c r="K86" i="7"/>
  <c r="J86" i="7"/>
  <c r="I86" i="7"/>
  <c r="H86" i="7"/>
  <c r="G86" i="7"/>
  <c r="F86" i="7"/>
  <c r="E86" i="7"/>
  <c r="D86" i="7"/>
  <c r="C86" i="7"/>
  <c r="L85" i="7"/>
  <c r="K85" i="7"/>
  <c r="J85" i="7"/>
  <c r="I85" i="7"/>
  <c r="H85" i="7"/>
  <c r="G85" i="7"/>
  <c r="F85" i="7"/>
  <c r="E85" i="7"/>
  <c r="D85" i="7"/>
  <c r="C85" i="7"/>
  <c r="L84" i="7"/>
  <c r="K84" i="7"/>
  <c r="J84" i="7"/>
  <c r="I84" i="7"/>
  <c r="H84" i="7"/>
  <c r="G84" i="7"/>
  <c r="F84" i="7"/>
  <c r="E84" i="7"/>
  <c r="D84" i="7"/>
  <c r="C84" i="7"/>
  <c r="L83" i="7"/>
  <c r="K83" i="7"/>
  <c r="J83" i="7"/>
  <c r="I83" i="7"/>
  <c r="H83" i="7"/>
  <c r="G83" i="7"/>
  <c r="F83" i="7"/>
  <c r="E83" i="7"/>
  <c r="D83" i="7"/>
  <c r="C83" i="7"/>
  <c r="L82" i="7"/>
  <c r="K82" i="7"/>
  <c r="J82" i="7"/>
  <c r="I82" i="7"/>
  <c r="H82" i="7"/>
  <c r="G82" i="7"/>
  <c r="F82" i="7"/>
  <c r="E82" i="7"/>
  <c r="D82" i="7"/>
  <c r="C82" i="7"/>
  <c r="L81" i="7"/>
  <c r="K81" i="7"/>
  <c r="J81" i="7"/>
  <c r="I81" i="7"/>
  <c r="H81" i="7"/>
  <c r="G81" i="7"/>
  <c r="F81" i="7"/>
  <c r="E81" i="7"/>
  <c r="D81" i="7"/>
  <c r="C81" i="7"/>
  <c r="L80" i="7"/>
  <c r="K80" i="7"/>
  <c r="J80" i="7"/>
  <c r="I80" i="7"/>
  <c r="H80" i="7"/>
  <c r="G80" i="7"/>
  <c r="F80" i="7"/>
  <c r="E80" i="7"/>
  <c r="D80" i="7"/>
  <c r="C80" i="7"/>
  <c r="L76" i="7"/>
  <c r="K76" i="7"/>
  <c r="J76" i="7"/>
  <c r="I76" i="7"/>
  <c r="H76" i="7"/>
  <c r="G76" i="7"/>
  <c r="F76" i="7"/>
  <c r="E76" i="7"/>
  <c r="D76" i="7"/>
  <c r="C76" i="7"/>
  <c r="L75" i="7"/>
  <c r="K75" i="7"/>
  <c r="J75" i="7"/>
  <c r="I75" i="7"/>
  <c r="H75" i="7"/>
  <c r="G75" i="7"/>
  <c r="F75" i="7"/>
  <c r="E75" i="7"/>
  <c r="D75" i="7"/>
  <c r="C75" i="7"/>
  <c r="L74" i="7"/>
  <c r="K74" i="7"/>
  <c r="J74" i="7"/>
  <c r="I74" i="7"/>
  <c r="H74" i="7"/>
  <c r="G74" i="7"/>
  <c r="F74" i="7"/>
  <c r="E74" i="7"/>
  <c r="D74" i="7"/>
  <c r="C74" i="7"/>
  <c r="L73" i="7"/>
  <c r="K73" i="7"/>
  <c r="J73" i="7"/>
  <c r="I73" i="7"/>
  <c r="H73" i="7"/>
  <c r="G73" i="7"/>
  <c r="F73" i="7"/>
  <c r="E73" i="7"/>
  <c r="D73" i="7"/>
  <c r="C73" i="7"/>
  <c r="L72" i="7"/>
  <c r="K72" i="7"/>
  <c r="J72" i="7"/>
  <c r="I72" i="7"/>
  <c r="H72" i="7"/>
  <c r="G72" i="7"/>
  <c r="F72" i="7"/>
  <c r="E72" i="7"/>
  <c r="D72" i="7"/>
  <c r="C72" i="7"/>
  <c r="L71" i="7"/>
  <c r="K71" i="7"/>
  <c r="J71" i="7"/>
  <c r="I71" i="7"/>
  <c r="H71" i="7"/>
  <c r="G71" i="7"/>
  <c r="F71" i="7"/>
  <c r="E71" i="7"/>
  <c r="D71" i="7"/>
  <c r="C71" i="7"/>
  <c r="L70" i="7"/>
  <c r="K70" i="7"/>
  <c r="J70" i="7"/>
  <c r="I70" i="7"/>
  <c r="H70" i="7"/>
  <c r="G70" i="7"/>
  <c r="F70" i="7"/>
  <c r="E70" i="7"/>
  <c r="D70" i="7"/>
  <c r="C70" i="7"/>
  <c r="N9" i="12" l="1"/>
  <c r="N8" i="12"/>
  <c r="N15" i="12"/>
  <c r="N7" i="12"/>
  <c r="N11" i="12"/>
  <c r="N10" i="12"/>
  <c r="N14" i="12"/>
  <c r="I12" i="12"/>
  <c r="I11" i="12"/>
  <c r="I10" i="12"/>
  <c r="I14" i="12"/>
  <c r="I6" i="12"/>
  <c r="I13" i="12"/>
  <c r="I9" i="12"/>
  <c r="I8" i="12"/>
  <c r="I15" i="12"/>
  <c r="D12" i="12"/>
  <c r="E13" i="12" s="1"/>
  <c r="D11" i="12"/>
  <c r="E11" i="12" s="1"/>
  <c r="D14" i="12"/>
  <c r="D13" i="12"/>
  <c r="D8" i="12"/>
  <c r="D6" i="12"/>
  <c r="D10" i="12"/>
  <c r="D9" i="12"/>
  <c r="E10" i="12" s="1"/>
  <c r="D15" i="12"/>
  <c r="L4" i="12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G4" i="12"/>
  <c r="G7" i="12"/>
  <c r="G8" i="12" s="1"/>
  <c r="G9" i="12" s="1"/>
  <c r="G10" i="12" s="1"/>
  <c r="G11" i="12" s="1"/>
  <c r="G12" i="12" s="1"/>
  <c r="G13" i="12" s="1"/>
  <c r="G14" i="12" s="1"/>
  <c r="G15" i="12" s="1"/>
  <c r="G16" i="12" s="1"/>
  <c r="H6" i="12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B4" i="12"/>
  <c r="E15" i="12"/>
  <c r="E14" i="12"/>
  <c r="E9" i="12"/>
  <c r="E8" i="12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E12" i="12" l="1"/>
  <c r="L17" i="12"/>
  <c r="G17" i="12"/>
  <c r="E7" i="12"/>
  <c r="D19" i="12" l="1"/>
  <c r="D18" i="12"/>
  <c r="E18" i="12" s="1"/>
  <c r="D20" i="12"/>
  <c r="D17" i="12"/>
  <c r="D16" i="12"/>
  <c r="E16" i="12" s="1"/>
  <c r="L18" i="12"/>
  <c r="G18" i="12"/>
  <c r="E19" i="12" l="1"/>
  <c r="E17" i="12"/>
  <c r="E20" i="12"/>
  <c r="L19" i="12"/>
  <c r="G19" i="12"/>
  <c r="L20" i="12" l="1"/>
  <c r="G20" i="12"/>
  <c r="L3" i="11" l="1"/>
  <c r="B2" i="11"/>
  <c r="K3" i="11"/>
  <c r="J3" i="11"/>
  <c r="I3" i="11"/>
  <c r="H3" i="11"/>
  <c r="G3" i="11"/>
  <c r="F3" i="11"/>
  <c r="E3" i="11"/>
  <c r="D3" i="11"/>
  <c r="C3" i="11"/>
  <c r="L107" i="7"/>
  <c r="K107" i="7"/>
  <c r="J107" i="7"/>
  <c r="I107" i="7"/>
  <c r="H107" i="7"/>
  <c r="G107" i="7"/>
  <c r="F107" i="7"/>
  <c r="E107" i="7"/>
  <c r="D107" i="7"/>
  <c r="C107" i="7"/>
  <c r="L106" i="7"/>
  <c r="K106" i="7"/>
  <c r="J106" i="7"/>
  <c r="I106" i="7"/>
  <c r="H106" i="7"/>
  <c r="G106" i="7"/>
  <c r="F106" i="7"/>
  <c r="E106" i="7"/>
  <c r="D106" i="7"/>
  <c r="C106" i="7"/>
  <c r="L105" i="7"/>
  <c r="K105" i="7"/>
  <c r="J105" i="7"/>
  <c r="I105" i="7"/>
  <c r="H105" i="7"/>
  <c r="G105" i="7"/>
  <c r="F105" i="7"/>
  <c r="E105" i="7"/>
  <c r="D105" i="7"/>
  <c r="C105" i="7"/>
  <c r="L104" i="7"/>
  <c r="K104" i="7"/>
  <c r="J104" i="7"/>
  <c r="I104" i="7"/>
  <c r="H104" i="7"/>
  <c r="G104" i="7"/>
  <c r="F104" i="7"/>
  <c r="E104" i="7"/>
  <c r="D104" i="7"/>
  <c r="C104" i="7"/>
  <c r="L56" i="7"/>
  <c r="K56" i="7"/>
  <c r="J56" i="7"/>
  <c r="I56" i="7"/>
  <c r="H56" i="7"/>
  <c r="G56" i="7"/>
  <c r="F56" i="7"/>
  <c r="E56" i="7"/>
  <c r="D56" i="7"/>
  <c r="C56" i="7"/>
  <c r="L61" i="7"/>
  <c r="K61" i="7"/>
  <c r="J61" i="7"/>
  <c r="I61" i="7"/>
  <c r="H61" i="7"/>
  <c r="G61" i="7"/>
  <c r="F61" i="7"/>
  <c r="E61" i="7"/>
  <c r="D61" i="7"/>
  <c r="C61" i="7"/>
  <c r="L60" i="7"/>
  <c r="K60" i="7"/>
  <c r="J60" i="7"/>
  <c r="I60" i="7"/>
  <c r="H60" i="7"/>
  <c r="G60" i="7"/>
  <c r="F60" i="7"/>
  <c r="E60" i="7"/>
  <c r="D60" i="7"/>
  <c r="C60" i="7"/>
  <c r="L59" i="7"/>
  <c r="L62" i="7" s="1"/>
  <c r="K59" i="7"/>
  <c r="J59" i="7"/>
  <c r="I59" i="7"/>
  <c r="H59" i="7"/>
  <c r="G59" i="7"/>
  <c r="F59" i="7"/>
  <c r="E59" i="7"/>
  <c r="D59" i="7"/>
  <c r="D62" i="7" s="1"/>
  <c r="C59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C55" i="7"/>
  <c r="C54" i="7"/>
  <c r="C53" i="7"/>
  <c r="L50" i="7"/>
  <c r="K50" i="7"/>
  <c r="J50" i="7"/>
  <c r="I50" i="7"/>
  <c r="H50" i="7"/>
  <c r="G50" i="7"/>
  <c r="F50" i="7"/>
  <c r="E50" i="7"/>
  <c r="D50" i="7"/>
  <c r="C50" i="7"/>
  <c r="L49" i="7"/>
  <c r="K49" i="7"/>
  <c r="J49" i="7"/>
  <c r="I49" i="7"/>
  <c r="H49" i="7"/>
  <c r="G49" i="7"/>
  <c r="F49" i="7"/>
  <c r="E49" i="7"/>
  <c r="D49" i="7"/>
  <c r="C49" i="7"/>
  <c r="L48" i="7"/>
  <c r="K48" i="7"/>
  <c r="J48" i="7"/>
  <c r="I48" i="7"/>
  <c r="H48" i="7"/>
  <c r="G48" i="7"/>
  <c r="F48" i="7"/>
  <c r="E48" i="7"/>
  <c r="D48" i="7"/>
  <c r="C48" i="7"/>
  <c r="L47" i="7"/>
  <c r="K47" i="7"/>
  <c r="J47" i="7"/>
  <c r="I47" i="7"/>
  <c r="H47" i="7"/>
  <c r="G47" i="7"/>
  <c r="F47" i="7"/>
  <c r="E47" i="7"/>
  <c r="D47" i="7"/>
  <c r="C47" i="7"/>
  <c r="H41" i="7"/>
  <c r="L36" i="7"/>
  <c r="L41" i="7" s="1"/>
  <c r="K36" i="7"/>
  <c r="K41" i="7" s="1"/>
  <c r="J36" i="7"/>
  <c r="J41" i="7" s="1"/>
  <c r="I36" i="7"/>
  <c r="I41" i="7" s="1"/>
  <c r="H36" i="7"/>
  <c r="G36" i="7"/>
  <c r="G41" i="7" s="1"/>
  <c r="F36" i="7"/>
  <c r="F41" i="7" s="1"/>
  <c r="E36" i="7"/>
  <c r="E41" i="7" s="1"/>
  <c r="D36" i="7"/>
  <c r="D41" i="7" s="1"/>
  <c r="C36" i="7"/>
  <c r="C41" i="7" s="1"/>
  <c r="L30" i="7"/>
  <c r="K30" i="7"/>
  <c r="J30" i="7"/>
  <c r="I30" i="7"/>
  <c r="H30" i="7"/>
  <c r="G30" i="7"/>
  <c r="F30" i="7"/>
  <c r="E30" i="7"/>
  <c r="D30" i="7"/>
  <c r="C30" i="7"/>
  <c r="L24" i="7"/>
  <c r="K24" i="7"/>
  <c r="J24" i="7"/>
  <c r="I24" i="7"/>
  <c r="H24" i="7"/>
  <c r="G24" i="7"/>
  <c r="F24" i="7"/>
  <c r="E24" i="7"/>
  <c r="D24" i="7"/>
  <c r="C24" i="7"/>
  <c r="L21" i="7"/>
  <c r="K21" i="7"/>
  <c r="J21" i="7"/>
  <c r="I21" i="7"/>
  <c r="H21" i="7"/>
  <c r="G21" i="7"/>
  <c r="F21" i="7"/>
  <c r="E21" i="7"/>
  <c r="D21" i="7"/>
  <c r="C21" i="7"/>
  <c r="L15" i="7"/>
  <c r="K15" i="7"/>
  <c r="J15" i="7"/>
  <c r="I15" i="7"/>
  <c r="H15" i="7"/>
  <c r="G15" i="7"/>
  <c r="F15" i="7"/>
  <c r="E15" i="7"/>
  <c r="D15" i="7"/>
  <c r="C15" i="7"/>
  <c r="L9" i="7"/>
  <c r="K9" i="7"/>
  <c r="J9" i="7"/>
  <c r="I9" i="7"/>
  <c r="H9" i="7"/>
  <c r="G9" i="7"/>
  <c r="F9" i="7"/>
  <c r="E9" i="7"/>
  <c r="D9" i="7"/>
  <c r="C9" i="7"/>
  <c r="L6" i="7"/>
  <c r="K6" i="7"/>
  <c r="J6" i="7"/>
  <c r="I6" i="7"/>
  <c r="H6" i="7"/>
  <c r="H28" i="11" s="1"/>
  <c r="H35" i="11" s="1"/>
  <c r="G6" i="7"/>
  <c r="F6" i="7"/>
  <c r="E6" i="7"/>
  <c r="D6" i="7"/>
  <c r="C6" i="7"/>
  <c r="L3" i="7"/>
  <c r="K3" i="7"/>
  <c r="J3" i="7"/>
  <c r="I3" i="7"/>
  <c r="H3" i="7"/>
  <c r="G3" i="7"/>
  <c r="F3" i="7"/>
  <c r="E3" i="7"/>
  <c r="D3" i="7"/>
  <c r="C3" i="7"/>
  <c r="B2" i="7"/>
  <c r="J27" i="11" l="1"/>
  <c r="J34" i="11" s="1"/>
  <c r="H10" i="7"/>
  <c r="L31" i="11"/>
  <c r="J10" i="7"/>
  <c r="H16" i="7"/>
  <c r="H17" i="11" s="1"/>
  <c r="D31" i="11"/>
  <c r="F30" i="11"/>
  <c r="J16" i="7"/>
  <c r="J17" i="11" s="1"/>
  <c r="H22" i="7"/>
  <c r="H25" i="7"/>
  <c r="H18" i="11" s="1"/>
  <c r="L25" i="7"/>
  <c r="L18" i="11" s="1"/>
  <c r="L10" i="7"/>
  <c r="F25" i="7"/>
  <c r="F18" i="11" s="1"/>
  <c r="E62" i="7"/>
  <c r="I41" i="11"/>
  <c r="L16" i="7"/>
  <c r="L17" i="11" s="1"/>
  <c r="J22" i="7"/>
  <c r="D10" i="7"/>
  <c r="E16" i="7"/>
  <c r="E17" i="11" s="1"/>
  <c r="I62" i="7"/>
  <c r="C41" i="11"/>
  <c r="J62" i="7"/>
  <c r="L39" i="11"/>
  <c r="H51" i="7"/>
  <c r="F57" i="7"/>
  <c r="F62" i="7"/>
  <c r="C12" i="7"/>
  <c r="C18" i="7" s="1"/>
  <c r="C21" i="11" s="1"/>
  <c r="K12" i="7"/>
  <c r="K13" i="7" s="1"/>
  <c r="K11" i="11" s="1"/>
  <c r="H57" i="7"/>
  <c r="F31" i="11"/>
  <c r="D22" i="7"/>
  <c r="L22" i="7"/>
  <c r="J25" i="7"/>
  <c r="J18" i="11" s="1"/>
  <c r="F51" i="7"/>
  <c r="H62" i="7"/>
  <c r="F41" i="11"/>
  <c r="H31" i="11"/>
  <c r="K22" i="7"/>
  <c r="E31" i="11"/>
  <c r="C10" i="7"/>
  <c r="K10" i="7"/>
  <c r="G16" i="7"/>
  <c r="G17" i="11" s="1"/>
  <c r="E22" i="7"/>
  <c r="C25" i="7"/>
  <c r="C18" i="11" s="1"/>
  <c r="K25" i="7"/>
  <c r="K18" i="11" s="1"/>
  <c r="D16" i="7"/>
  <c r="D17" i="11" s="1"/>
  <c r="D57" i="7"/>
  <c r="D64" i="7" s="1"/>
  <c r="I57" i="7"/>
  <c r="C30" i="11"/>
  <c r="D39" i="11"/>
  <c r="C22" i="7"/>
  <c r="F16" i="7"/>
  <c r="F17" i="11" s="1"/>
  <c r="H41" i="11"/>
  <c r="D27" i="11"/>
  <c r="D34" i="11" s="1"/>
  <c r="F39" i="11"/>
  <c r="F22" i="7"/>
  <c r="D25" i="7"/>
  <c r="D18" i="11" s="1"/>
  <c r="E10" i="7"/>
  <c r="E25" i="7"/>
  <c r="E18" i="11" s="1"/>
  <c r="K28" i="11"/>
  <c r="K35" i="11" s="1"/>
  <c r="G57" i="7"/>
  <c r="G62" i="7"/>
  <c r="C57" i="7"/>
  <c r="J51" i="7"/>
  <c r="L27" i="11"/>
  <c r="L34" i="11" s="1"/>
  <c r="C16" i="7"/>
  <c r="C17" i="11" s="1"/>
  <c r="K16" i="7"/>
  <c r="K17" i="11" s="1"/>
  <c r="D7" i="7"/>
  <c r="D5" i="11" s="1"/>
  <c r="C51" i="7"/>
  <c r="K51" i="7"/>
  <c r="I51" i="7"/>
  <c r="K39" i="11"/>
  <c r="H29" i="11"/>
  <c r="H36" i="11" s="1"/>
  <c r="F10" i="7"/>
  <c r="J12" i="7"/>
  <c r="J13" i="7" s="1"/>
  <c r="J11" i="11" s="1"/>
  <c r="L7" i="7"/>
  <c r="L5" i="11" s="1"/>
  <c r="D51" i="7"/>
  <c r="L51" i="7"/>
  <c r="J57" i="7"/>
  <c r="D87" i="7"/>
  <c r="L87" i="7"/>
  <c r="D41" i="11"/>
  <c r="L41" i="11"/>
  <c r="J29" i="11"/>
  <c r="J36" i="11" s="1"/>
  <c r="K41" i="11"/>
  <c r="E77" i="7"/>
  <c r="G98" i="7"/>
  <c r="J87" i="7"/>
  <c r="H87" i="7"/>
  <c r="J98" i="7"/>
  <c r="I87" i="7"/>
  <c r="J77" i="7"/>
  <c r="F87" i="7"/>
  <c r="C77" i="7"/>
  <c r="K77" i="7"/>
  <c r="H98" i="7"/>
  <c r="C87" i="7"/>
  <c r="I98" i="7"/>
  <c r="D77" i="7"/>
  <c r="L77" i="7"/>
  <c r="F77" i="7"/>
  <c r="C98" i="7"/>
  <c r="K98" i="7"/>
  <c r="K87" i="7"/>
  <c r="G77" i="7"/>
  <c r="D98" i="7"/>
  <c r="L98" i="7"/>
  <c r="H77" i="7"/>
  <c r="E98" i="7"/>
  <c r="K9" i="11"/>
  <c r="G9" i="11"/>
  <c r="F9" i="11"/>
  <c r="E12" i="7"/>
  <c r="E18" i="7" s="1"/>
  <c r="I16" i="7"/>
  <c r="I17" i="11" s="1"/>
  <c r="G22" i="7"/>
  <c r="D9" i="11"/>
  <c r="L9" i="11"/>
  <c r="E51" i="7"/>
  <c r="C62" i="7"/>
  <c r="C64" i="7" s="1"/>
  <c r="K62" i="7"/>
  <c r="I64" i="7"/>
  <c r="I66" i="7" s="1"/>
  <c r="G41" i="11"/>
  <c r="G29" i="11"/>
  <c r="G36" i="11" s="1"/>
  <c r="G28" i="11"/>
  <c r="G35" i="11" s="1"/>
  <c r="G27" i="11"/>
  <c r="G34" i="11" s="1"/>
  <c r="G7" i="7"/>
  <c r="G5" i="11" s="1"/>
  <c r="G12" i="7"/>
  <c r="G13" i="7" s="1"/>
  <c r="G11" i="11" s="1"/>
  <c r="G31" i="11"/>
  <c r="G30" i="11"/>
  <c r="C25" i="11"/>
  <c r="C13" i="11"/>
  <c r="G10" i="7"/>
  <c r="E9" i="11"/>
  <c r="E87" i="7"/>
  <c r="I9" i="11"/>
  <c r="I27" i="11"/>
  <c r="I34" i="11" s="1"/>
  <c r="I7" i="7"/>
  <c r="I5" i="11" s="1"/>
  <c r="I12" i="7"/>
  <c r="I18" i="7" s="1"/>
  <c r="I27" i="7" s="1"/>
  <c r="I31" i="7" s="1"/>
  <c r="I30" i="11"/>
  <c r="I31" i="11"/>
  <c r="I29" i="11"/>
  <c r="I36" i="11" s="1"/>
  <c r="I28" i="11"/>
  <c r="I35" i="11" s="1"/>
  <c r="I22" i="7"/>
  <c r="K57" i="7"/>
  <c r="K64" i="7" s="1"/>
  <c r="K31" i="11"/>
  <c r="J7" i="7"/>
  <c r="J5" i="11" s="1"/>
  <c r="G87" i="7"/>
  <c r="H9" i="11"/>
  <c r="J9" i="11"/>
  <c r="E41" i="11"/>
  <c r="E39" i="11"/>
  <c r="G25" i="7"/>
  <c r="G18" i="11" s="1"/>
  <c r="G51" i="7"/>
  <c r="C29" i="11"/>
  <c r="I10" i="7"/>
  <c r="I25" i="7"/>
  <c r="I18" i="11" s="1"/>
  <c r="L57" i="7"/>
  <c r="L64" i="7" s="1"/>
  <c r="L40" i="11" s="1"/>
  <c r="I77" i="7"/>
  <c r="F98" i="7"/>
  <c r="D12" i="7"/>
  <c r="D13" i="7" s="1"/>
  <c r="D11" i="11" s="1"/>
  <c r="L12" i="7"/>
  <c r="L13" i="7" s="1"/>
  <c r="L11" i="11" s="1"/>
  <c r="K7" i="7"/>
  <c r="K5" i="11" s="1"/>
  <c r="C31" i="11"/>
  <c r="K27" i="11"/>
  <c r="K34" i="11" s="1"/>
  <c r="J28" i="11"/>
  <c r="J35" i="11" s="1"/>
  <c r="H30" i="11"/>
  <c r="D40" i="11"/>
  <c r="J41" i="11"/>
  <c r="F12" i="7"/>
  <c r="F18" i="7" s="1"/>
  <c r="F27" i="7" s="1"/>
  <c r="E7" i="7"/>
  <c r="E5" i="11" s="1"/>
  <c r="E27" i="11"/>
  <c r="E34" i="11" s="1"/>
  <c r="D28" i="11"/>
  <c r="D35" i="11" s="1"/>
  <c r="L28" i="11"/>
  <c r="L35" i="11" s="1"/>
  <c r="K29" i="11"/>
  <c r="K36" i="11" s="1"/>
  <c r="J30" i="11"/>
  <c r="G39" i="11"/>
  <c r="F7" i="7"/>
  <c r="F5" i="11" s="1"/>
  <c r="E57" i="7"/>
  <c r="E64" i="7" s="1"/>
  <c r="F27" i="11"/>
  <c r="F34" i="11" s="1"/>
  <c r="E28" i="11"/>
  <c r="E35" i="11" s="1"/>
  <c r="D29" i="11"/>
  <c r="D36" i="11" s="1"/>
  <c r="L29" i="11"/>
  <c r="L36" i="11" s="1"/>
  <c r="K30" i="11"/>
  <c r="J31" i="11"/>
  <c r="H39" i="11"/>
  <c r="H12" i="7"/>
  <c r="H13" i="7" s="1"/>
  <c r="H11" i="11" s="1"/>
  <c r="C27" i="11"/>
  <c r="F28" i="11"/>
  <c r="F35" i="11" s="1"/>
  <c r="E29" i="11"/>
  <c r="E36" i="11" s="1"/>
  <c r="D30" i="11"/>
  <c r="L30" i="11"/>
  <c r="I39" i="11"/>
  <c r="H7" i="7"/>
  <c r="H5" i="11" s="1"/>
  <c r="C28" i="11"/>
  <c r="H27" i="11"/>
  <c r="H34" i="11" s="1"/>
  <c r="F29" i="11"/>
  <c r="F36" i="11" s="1"/>
  <c r="E30" i="11"/>
  <c r="C39" i="11"/>
  <c r="J39" i="11"/>
  <c r="C13" i="7"/>
  <c r="C11" i="11" s="1"/>
  <c r="E13" i="7"/>
  <c r="E11" i="11" s="1"/>
  <c r="E27" i="7"/>
  <c r="E31" i="7" s="1"/>
  <c r="C27" i="7"/>
  <c r="C28" i="7" s="1"/>
  <c r="C14" i="11" s="1"/>
  <c r="K18" i="7"/>
  <c r="I13" i="7" l="1"/>
  <c r="I11" i="11" s="1"/>
  <c r="C66" i="7"/>
  <c r="L18" i="7"/>
  <c r="H37" i="11"/>
  <c r="H64" i="7"/>
  <c r="H66" i="7" s="1"/>
  <c r="F64" i="7"/>
  <c r="F66" i="7" s="1"/>
  <c r="D37" i="11"/>
  <c r="G18" i="7"/>
  <c r="G6" i="11" s="1"/>
  <c r="F13" i="7"/>
  <c r="F11" i="11" s="1"/>
  <c r="N11" i="11" s="1"/>
  <c r="C19" i="7"/>
  <c r="C12" i="11" s="1"/>
  <c r="J64" i="7"/>
  <c r="L66" i="7"/>
  <c r="C31" i="7"/>
  <c r="J37" i="11"/>
  <c r="N17" i="11"/>
  <c r="D18" i="7"/>
  <c r="D13" i="11" s="1"/>
  <c r="D19" i="11" s="1"/>
  <c r="C40" i="11"/>
  <c r="J18" i="7"/>
  <c r="J25" i="11" s="1"/>
  <c r="K37" i="11"/>
  <c r="O17" i="11"/>
  <c r="E37" i="11"/>
  <c r="F40" i="11"/>
  <c r="N5" i="11"/>
  <c r="C100" i="7"/>
  <c r="D66" i="7"/>
  <c r="I37" i="11"/>
  <c r="I40" i="11"/>
  <c r="G64" i="7"/>
  <c r="G40" i="11" s="1"/>
  <c r="G37" i="11"/>
  <c r="L37" i="11"/>
  <c r="N30" i="11"/>
  <c r="F37" i="11"/>
  <c r="N41" i="11"/>
  <c r="O5" i="11"/>
  <c r="N18" i="11"/>
  <c r="K100" i="7"/>
  <c r="J100" i="7"/>
  <c r="G100" i="7"/>
  <c r="L100" i="7"/>
  <c r="E100" i="7"/>
  <c r="D100" i="7"/>
  <c r="I100" i="7"/>
  <c r="H100" i="7"/>
  <c r="F100" i="7"/>
  <c r="K13" i="11"/>
  <c r="K19" i="11" s="1"/>
  <c r="K6" i="11"/>
  <c r="K25" i="11"/>
  <c r="K21" i="11"/>
  <c r="K19" i="7"/>
  <c r="K12" i="11" s="1"/>
  <c r="H18" i="7"/>
  <c r="I6" i="11" s="1"/>
  <c r="C35" i="11"/>
  <c r="N28" i="11"/>
  <c r="O28" i="11"/>
  <c r="C34" i="11"/>
  <c r="N27" i="11"/>
  <c r="O27" i="11"/>
  <c r="C36" i="11"/>
  <c r="O29" i="11"/>
  <c r="N29" i="11"/>
  <c r="C19" i="11"/>
  <c r="O30" i="11"/>
  <c r="O18" i="11"/>
  <c r="K66" i="7"/>
  <c r="K40" i="11"/>
  <c r="O41" i="11"/>
  <c r="E13" i="11"/>
  <c r="E19" i="11" s="1"/>
  <c r="E25" i="11"/>
  <c r="E21" i="11"/>
  <c r="E19" i="7"/>
  <c r="E12" i="11" s="1"/>
  <c r="D21" i="11"/>
  <c r="E66" i="7"/>
  <c r="I25" i="11"/>
  <c r="I21" i="11"/>
  <c r="I19" i="7"/>
  <c r="I12" i="11" s="1"/>
  <c r="I13" i="11"/>
  <c r="I19" i="11" s="1"/>
  <c r="H40" i="11"/>
  <c r="I28" i="7"/>
  <c r="I14" i="11" s="1"/>
  <c r="O9" i="11"/>
  <c r="N9" i="11"/>
  <c r="J27" i="7"/>
  <c r="J33" i="7" s="1"/>
  <c r="J6" i="11"/>
  <c r="J21" i="11"/>
  <c r="F7" i="11"/>
  <c r="F31" i="7"/>
  <c r="F28" i="7"/>
  <c r="F14" i="11" s="1"/>
  <c r="E28" i="7"/>
  <c r="E14" i="11" s="1"/>
  <c r="N39" i="11"/>
  <c r="O39" i="11"/>
  <c r="F13" i="11"/>
  <c r="F19" i="11" s="1"/>
  <c r="F6" i="11"/>
  <c r="F25" i="11"/>
  <c r="F21" i="11"/>
  <c r="F19" i="7"/>
  <c r="F12" i="11" s="1"/>
  <c r="L25" i="11"/>
  <c r="L13" i="11"/>
  <c r="L19" i="11" s="1"/>
  <c r="L6" i="11"/>
  <c r="L21" i="11"/>
  <c r="L19" i="7"/>
  <c r="L12" i="11" s="1"/>
  <c r="N31" i="11"/>
  <c r="O31" i="11"/>
  <c r="E40" i="11"/>
  <c r="H27" i="7"/>
  <c r="K27" i="7"/>
  <c r="C33" i="7"/>
  <c r="E33" i="7"/>
  <c r="I33" i="7"/>
  <c r="L27" i="7"/>
  <c r="F33" i="7"/>
  <c r="O11" i="11" l="1"/>
  <c r="J13" i="11"/>
  <c r="J19" i="11" s="1"/>
  <c r="G27" i="7"/>
  <c r="G28" i="7" s="1"/>
  <c r="G14" i="11" s="1"/>
  <c r="D25" i="11"/>
  <c r="J19" i="7"/>
  <c r="J12" i="11" s="1"/>
  <c r="G13" i="11"/>
  <c r="G19" i="11" s="1"/>
  <c r="D27" i="7"/>
  <c r="E7" i="11" s="1"/>
  <c r="G19" i="7"/>
  <c r="G12" i="11" s="1"/>
  <c r="D6" i="11"/>
  <c r="G21" i="11"/>
  <c r="G25" i="11"/>
  <c r="D19" i="7"/>
  <c r="D12" i="11" s="1"/>
  <c r="E6" i="11"/>
  <c r="J66" i="7"/>
  <c r="J40" i="11"/>
  <c r="N40" i="11" s="1"/>
  <c r="G66" i="7"/>
  <c r="G7" i="11"/>
  <c r="G31" i="7"/>
  <c r="O36" i="11"/>
  <c r="N36" i="11"/>
  <c r="I23" i="11"/>
  <c r="I34" i="7"/>
  <c r="I15" i="11" s="1"/>
  <c r="I38" i="7"/>
  <c r="H7" i="11"/>
  <c r="H28" i="7"/>
  <c r="H14" i="11" s="1"/>
  <c r="H31" i="7"/>
  <c r="J34" i="7"/>
  <c r="J15" i="11" s="1"/>
  <c r="J8" i="11"/>
  <c r="J38" i="7"/>
  <c r="J23" i="11"/>
  <c r="G33" i="7"/>
  <c r="F8" i="11"/>
  <c r="F38" i="7"/>
  <c r="F23" i="11"/>
  <c r="F34" i="7"/>
  <c r="F15" i="11" s="1"/>
  <c r="I7" i="11"/>
  <c r="H25" i="11"/>
  <c r="H21" i="11"/>
  <c r="H19" i="7"/>
  <c r="H12" i="11" s="1"/>
  <c r="N12" i="11" s="1"/>
  <c r="H13" i="11"/>
  <c r="H19" i="11" s="1"/>
  <c r="H6" i="11"/>
  <c r="N6" i="11" s="1"/>
  <c r="O34" i="11"/>
  <c r="N34" i="11"/>
  <c r="L28" i="7"/>
  <c r="L14" i="11" s="1"/>
  <c r="L7" i="11"/>
  <c r="L31" i="7"/>
  <c r="E38" i="7"/>
  <c r="E23" i="11"/>
  <c r="E34" i="7"/>
  <c r="E15" i="11" s="1"/>
  <c r="J7" i="11"/>
  <c r="J28" i="7"/>
  <c r="J14" i="11" s="1"/>
  <c r="J31" i="7"/>
  <c r="C23" i="11"/>
  <c r="C34" i="7"/>
  <c r="C15" i="11" s="1"/>
  <c r="C38" i="7"/>
  <c r="D28" i="7"/>
  <c r="D14" i="11" s="1"/>
  <c r="D7" i="11"/>
  <c r="D31" i="7"/>
  <c r="K28" i="7"/>
  <c r="K14" i="11" s="1"/>
  <c r="K7" i="11"/>
  <c r="K31" i="7"/>
  <c r="O35" i="11"/>
  <c r="N35" i="11"/>
  <c r="C37" i="11"/>
  <c r="H33" i="7"/>
  <c r="I8" i="11" s="1"/>
  <c r="L33" i="7"/>
  <c r="D33" i="7"/>
  <c r="E8" i="11" s="1"/>
  <c r="K33" i="7"/>
  <c r="O19" i="11" l="1"/>
  <c r="O6" i="11"/>
  <c r="O21" i="11"/>
  <c r="O40" i="11"/>
  <c r="N25" i="11"/>
  <c r="O13" i="11"/>
  <c r="J9" i="12"/>
  <c r="N13" i="11"/>
  <c r="O25" i="11"/>
  <c r="K34" i="7"/>
  <c r="K15" i="11" s="1"/>
  <c r="K8" i="11"/>
  <c r="K23" i="11"/>
  <c r="K38" i="7"/>
  <c r="F39" i="7"/>
  <c r="F42" i="7"/>
  <c r="F44" i="7" s="1"/>
  <c r="F22" i="11" s="1"/>
  <c r="F24" i="11" s="1"/>
  <c r="I42" i="7"/>
  <c r="I44" i="7" s="1"/>
  <c r="I22" i="11" s="1"/>
  <c r="I24" i="11" s="1"/>
  <c r="D23" i="11"/>
  <c r="D8" i="11"/>
  <c r="D38" i="7"/>
  <c r="D34" i="7"/>
  <c r="D15" i="11" s="1"/>
  <c r="E42" i="7"/>
  <c r="E44" i="7" s="1"/>
  <c r="E22" i="11" s="1"/>
  <c r="E24" i="11" s="1"/>
  <c r="C42" i="7"/>
  <c r="C44" i="7" s="1"/>
  <c r="C22" i="11" s="1"/>
  <c r="L34" i="7"/>
  <c r="L15" i="11" s="1"/>
  <c r="L8" i="11"/>
  <c r="L23" i="11"/>
  <c r="L38" i="7"/>
  <c r="H34" i="7"/>
  <c r="H15" i="11" s="1"/>
  <c r="H38" i="7"/>
  <c r="H23" i="11"/>
  <c r="H8" i="11"/>
  <c r="N7" i="11"/>
  <c r="O7" i="11"/>
  <c r="G8" i="11"/>
  <c r="G38" i="7"/>
  <c r="G23" i="11"/>
  <c r="G34" i="7"/>
  <c r="G15" i="11" s="1"/>
  <c r="O37" i="11"/>
  <c r="N37" i="11"/>
  <c r="O14" i="11"/>
  <c r="N14" i="11"/>
  <c r="N21" i="11"/>
  <c r="O12" i="11"/>
  <c r="N19" i="11"/>
  <c r="J39" i="7"/>
  <c r="J42" i="7"/>
  <c r="J44" i="7" s="1"/>
  <c r="J22" i="11" s="1"/>
  <c r="J24" i="11" s="1"/>
  <c r="B6" i="6"/>
  <c r="E1" i="6"/>
  <c r="N23" i="11" l="1"/>
  <c r="J12" i="12"/>
  <c r="I18" i="12"/>
  <c r="I17" i="12"/>
  <c r="I19" i="12"/>
  <c r="I20" i="12"/>
  <c r="I16" i="12"/>
  <c r="J16" i="12" s="1"/>
  <c r="J10" i="12"/>
  <c r="J8" i="12"/>
  <c r="J7" i="12"/>
  <c r="J15" i="12"/>
  <c r="J14" i="12"/>
  <c r="J11" i="12"/>
  <c r="J13" i="12"/>
  <c r="N15" i="11"/>
  <c r="O23" i="11"/>
  <c r="C24" i="11"/>
  <c r="D39" i="7"/>
  <c r="D42" i="7"/>
  <c r="D44" i="7" s="1"/>
  <c r="D22" i="11" s="1"/>
  <c r="H39" i="7"/>
  <c r="H42" i="7"/>
  <c r="H44" i="7" s="1"/>
  <c r="H22" i="11" s="1"/>
  <c r="H24" i="11" s="1"/>
  <c r="N8" i="11"/>
  <c r="O8" i="11"/>
  <c r="O15" i="11"/>
  <c r="G39" i="7"/>
  <c r="G42" i="7"/>
  <c r="G44" i="7" s="1"/>
  <c r="G22" i="11" s="1"/>
  <c r="G24" i="11" s="1"/>
  <c r="L39" i="7"/>
  <c r="L42" i="7"/>
  <c r="L44" i="7" s="1"/>
  <c r="L22" i="11" s="1"/>
  <c r="L24" i="11" s="1"/>
  <c r="K39" i="7"/>
  <c r="K42" i="7"/>
  <c r="K44" i="7" s="1"/>
  <c r="K22" i="11" s="1"/>
  <c r="K24" i="11" s="1"/>
  <c r="E39" i="7"/>
  <c r="I39" i="7"/>
  <c r="J20" i="12" l="1"/>
  <c r="J19" i="12"/>
  <c r="O10" i="12"/>
  <c r="J17" i="12"/>
  <c r="J18" i="12"/>
  <c r="D24" i="11"/>
  <c r="O24" i="11" s="1"/>
  <c r="N22" i="11"/>
  <c r="O22" i="11"/>
  <c r="N24" i="11" l="1"/>
  <c r="O11" i="12"/>
  <c r="O12" i="12"/>
  <c r="O8" i="12"/>
  <c r="N19" i="12"/>
  <c r="N16" i="12"/>
  <c r="O16" i="12" s="1"/>
  <c r="N18" i="12"/>
  <c r="O9" i="12"/>
  <c r="O14" i="12"/>
  <c r="N17" i="12"/>
  <c r="O15" i="12"/>
  <c r="O13" i="12"/>
  <c r="O7" i="12"/>
  <c r="N20" i="12"/>
  <c r="O20" i="12" s="1"/>
  <c r="O17" i="12" l="1"/>
  <c r="O18" i="12"/>
  <c r="O19" i="12"/>
</calcChain>
</file>

<file path=xl/sharedStrings.xml><?xml version="1.0" encoding="utf-8"?>
<sst xmlns="http://schemas.openxmlformats.org/spreadsheetml/2006/main" count="233" uniqueCount="154">
  <si>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</si>
  <si>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</si>
  <si>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</si>
  <si>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</si>
  <si>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</si>
  <si>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</si>
  <si>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</si>
  <si>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</si>
  <si>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</si>
  <si>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</si>
  <si>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</si>
  <si>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</si>
  <si>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</si>
  <si>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</si>
  <si>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</si>
  <si>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</si>
  <si>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</si>
  <si>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</si>
  <si>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</si>
  <si>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</si>
  <si>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</si>
  <si>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</si>
  <si>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</si>
  <si>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</si>
  <si>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</si>
  <si>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</si>
  <si>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</si>
  <si>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</si>
  <si>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</si>
  <si>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</si>
  <si>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</si>
  <si>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</si>
  <si>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RELIANCE INDUSTRIES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</si>
  <si>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</si>
  <si>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</si>
  <si>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</si>
  <si>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</si>
  <si>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</si>
  <si>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</si>
  <si>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</si>
  <si>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</si>
  <si>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</si>
  <si>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</si>
  <si>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</si>
  <si>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</si>
  <si>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</si>
  <si>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</si>
  <si>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</si>
  <si>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</si>
  <si>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</si>
  <si>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</si>
  <si>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</si>
  <si>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</si>
  <si>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</si>
  <si>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 </t>
  </si>
  <si>
    <t>Years</t>
  </si>
  <si>
    <t>#</t>
  </si>
  <si>
    <t>Income Statement</t>
  </si>
  <si>
    <t>COGS</t>
  </si>
  <si>
    <t>COGS as % of Sales</t>
  </si>
  <si>
    <t>Gross Profit</t>
  </si>
  <si>
    <t>Gross Profit as % of Sales</t>
  </si>
  <si>
    <t>Selling &amp; General Expense</t>
  </si>
  <si>
    <t>S&amp;G as % of Sales</t>
  </si>
  <si>
    <t>EBITDA</t>
  </si>
  <si>
    <t>EBITDA Margin</t>
  </si>
  <si>
    <t>Interest as % of Sales</t>
  </si>
  <si>
    <t>Depreciation as % of Sales</t>
  </si>
  <si>
    <t>Earnings Before Tax</t>
  </si>
  <si>
    <t>EBT as % of Sales</t>
  </si>
  <si>
    <t>Efffective Tax Rate</t>
  </si>
  <si>
    <t>Net Profit</t>
  </si>
  <si>
    <t>Net Profit Margin</t>
  </si>
  <si>
    <t>NA</t>
  </si>
  <si>
    <t>No of Equity Shares</t>
  </si>
  <si>
    <t>Earnings Per Share</t>
  </si>
  <si>
    <t>EPS Growth Rate</t>
  </si>
  <si>
    <t>Dividend Per Share</t>
  </si>
  <si>
    <t>Dividend Payout Ratio</t>
  </si>
  <si>
    <t>Retained Earnings</t>
  </si>
  <si>
    <t>Balance Sheet</t>
  </si>
  <si>
    <t>Total Assets</t>
  </si>
  <si>
    <t>Total Non Current Assets</t>
  </si>
  <si>
    <t>Total Liabilities</t>
  </si>
  <si>
    <t>Total Current Assets</t>
  </si>
  <si>
    <t>Fiexed Assets Net Block</t>
  </si>
  <si>
    <t>Bal Check</t>
  </si>
  <si>
    <t>Cash Flow Statement</t>
  </si>
  <si>
    <t>Cash from Operating Activity -</t>
  </si>
  <si>
    <t>Profit from operations</t>
  </si>
  <si>
    <t>Payables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</si>
  <si>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</si>
  <si>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</si>
  <si>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</si>
  <si>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</si>
  <si>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</si>
  <si>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</si>
  <si>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</si>
  <si>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</si>
  <si>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</si>
  <si>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</si>
  <si>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</si>
  <si>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</si>
  <si>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</si>
  <si>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</si>
  <si>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</si>
  <si>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</si>
  <si>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</si>
  <si>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</si>
  <si>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</si>
  <si>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</si>
  <si>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Cash from Investing Activities</t>
  </si>
  <si>
    <t>Investing Activities</t>
  </si>
  <si>
    <t>Financing Activities</t>
  </si>
  <si>
    <t>Cash from Financing Activities</t>
  </si>
  <si>
    <t>Short Cash Flow</t>
  </si>
  <si>
    <t>EBITDA Growth</t>
  </si>
  <si>
    <t>Net Profit Growth</t>
  </si>
  <si>
    <t>Dividend Growth</t>
  </si>
  <si>
    <t>Gross Margin</t>
  </si>
  <si>
    <t>EBIT Margin</t>
  </si>
  <si>
    <t>EBT Margin</t>
  </si>
  <si>
    <t>EBT Growth</t>
  </si>
  <si>
    <t>Selling Exp as % of Sales</t>
  </si>
  <si>
    <t>Operating Exp as % of Sales</t>
  </si>
  <si>
    <t>Return on Capital Employed</t>
  </si>
  <si>
    <t>Retained Earnings %</t>
  </si>
  <si>
    <t xml:space="preserve">Return on Equity </t>
  </si>
  <si>
    <t>Interest Coverage Ratio</t>
  </si>
  <si>
    <t>Self Sustained Growth Rate (g=b*r)</t>
  </si>
  <si>
    <t>Debtor Turnover Ratio</t>
  </si>
  <si>
    <t>CreditorTurnover Ratio</t>
  </si>
  <si>
    <t>Inventory Turnover</t>
  </si>
  <si>
    <t>Fixed Asset Turnover</t>
  </si>
  <si>
    <t>Capital Turnover</t>
  </si>
  <si>
    <t>Debtor Days</t>
  </si>
  <si>
    <t>Payable Days</t>
  </si>
  <si>
    <t>Inventory Days</t>
  </si>
  <si>
    <t>(In Days)</t>
  </si>
  <si>
    <t>CFO/Sales</t>
  </si>
  <si>
    <t>CFO/Total Assets</t>
  </si>
  <si>
    <t>CFO/Total Debt (Borrowings)</t>
  </si>
  <si>
    <t>Cash Conversion Cycle (Days)</t>
  </si>
  <si>
    <t>Na</t>
  </si>
  <si>
    <t>Mean</t>
  </si>
  <si>
    <t>Median</t>
  </si>
  <si>
    <t>Trend</t>
  </si>
  <si>
    <t>Weight</t>
  </si>
  <si>
    <t>Year</t>
  </si>
  <si>
    <t>EPS</t>
  </si>
  <si>
    <t>EPS Growth</t>
  </si>
  <si>
    <t>main sheet TAMO</t>
  </si>
  <si>
    <t>Other operating items</t>
  </si>
  <si>
    <t>Share application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</si>
</sst>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[Red]&quot;₹&quot;\ \-#,##0.0"/>
    <numFmt numFmtId="167" formatCode="&quot;₹&quot;\ #,##0.0;&quot;₹&quot;\ \(#,##0.0\)"/>
    <numFmt numFmtId="168" formatCode="&quot;₹&quot;\ #,##0.00"/>
    <numFmt numFmtId="169" formatCode="0.00\x"/>
    <numFmt numFmtId="170" formatCode="yyyy&quot;A&quot;"/>
    <numFmt numFmtId="171" formatCode="yyyy&quot;E&quot;"/>
    <numFmt numFmtId="172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0000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0" tint="-0.499984740745262"/>
      </top>
      <bottom style="thin">
        <color theme="3" tint="0.39994506668294322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167" fontId="3" fillId="0" borderId="0">
      <alignment horizontal="right"/>
    </xf>
    <xf numFmtId="9" fontId="3" fillId="0" borderId="0" applyFont="0" applyFill="0" applyBorder="0" applyAlignment="0" applyProtection="0"/>
  </cellStyleXfs>
  <cellXfs count="78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 applyBorder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9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43" fontId="1" fillId="0" borderId="2" xfId="1" applyFont="1" applyBorder="1"/>
    <xf numFmtId="9" fontId="9" fillId="0" borderId="1" xfId="0" applyNumberFormat="1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5" fillId="5" borderId="0" xfId="0" applyFont="1" applyFill="1"/>
    <xf numFmtId="17" fontId="5" fillId="5" borderId="0" xfId="0" applyNumberFormat="1" applyFont="1" applyFill="1" applyAlignment="1">
      <alignment horizontal="right"/>
    </xf>
    <xf numFmtId="0" fontId="0" fillId="0" borderId="3" xfId="0" applyBorder="1" applyAlignment="1">
      <alignment horizontal="left"/>
    </xf>
    <xf numFmtId="9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right"/>
    </xf>
    <xf numFmtId="167" fontId="3" fillId="0" borderId="2" xfId="4" applyBorder="1">
      <alignment horizontal="righ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7" fontId="1" fillId="0" borderId="5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167" fontId="1" fillId="0" borderId="0" xfId="0" applyNumberFormat="1" applyFont="1" applyAlignment="1">
      <alignment horizontal="right"/>
    </xf>
    <xf numFmtId="169" fontId="0" fillId="0" borderId="0" xfId="0" applyNumberFormat="1"/>
    <xf numFmtId="0" fontId="10" fillId="0" borderId="0" xfId="0" applyFont="1" applyAlignment="1">
      <alignment horizontal="left"/>
    </xf>
    <xf numFmtId="10" fontId="0" fillId="0" borderId="0" xfId="5" applyNumberFormat="1" applyFont="1" applyBorder="1"/>
    <xf numFmtId="0" fontId="0" fillId="0" borderId="7" xfId="0" applyBorder="1" applyAlignment="1">
      <alignment horizontal="left"/>
    </xf>
    <xf numFmtId="0" fontId="0" fillId="0" borderId="7" xfId="0" applyBorder="1"/>
    <xf numFmtId="10" fontId="0" fillId="0" borderId="7" xfId="5" applyNumberFormat="1" applyFont="1" applyBorder="1"/>
    <xf numFmtId="0" fontId="0" fillId="0" borderId="8" xfId="0" applyBorder="1" applyAlignment="1">
      <alignment horizontal="left"/>
    </xf>
    <xf numFmtId="0" fontId="0" fillId="0" borderId="8" xfId="0" applyBorder="1"/>
    <xf numFmtId="10" fontId="0" fillId="0" borderId="8" xfId="5" applyNumberFormat="1" applyFont="1" applyBorder="1"/>
    <xf numFmtId="10" fontId="0" fillId="0" borderId="8" xfId="0" applyNumberFormat="1" applyBorder="1"/>
    <xf numFmtId="169" fontId="0" fillId="0" borderId="8" xfId="0" applyNumberFormat="1" applyBorder="1"/>
    <xf numFmtId="169" fontId="0" fillId="0" borderId="7" xfId="0" applyNumberFormat="1" applyBorder="1"/>
    <xf numFmtId="0" fontId="0" fillId="0" borderId="9" xfId="0" applyBorder="1"/>
    <xf numFmtId="0" fontId="0" fillId="0" borderId="7" xfId="0" applyBorder="1" applyAlignment="1">
      <alignment horizontal="right"/>
    </xf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7" fontId="5" fillId="5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2" fontId="12" fillId="0" borderId="0" xfId="0" applyNumberFormat="1" applyFont="1" applyAlignment="1">
      <alignment horizontal="right"/>
    </xf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2" fontId="0" fillId="8" borderId="0" xfId="0" applyNumberFormat="1" applyFill="1" applyAlignment="1">
      <alignment horizontal="right"/>
    </xf>
    <xf numFmtId="10" fontId="0" fillId="8" borderId="0" xfId="0" applyNumberFormat="1" applyFill="1" applyAlignment="1">
      <alignment horizontal="right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6">
    <cellStyle name="Accent6" xfId="3" builtinId="49"/>
    <cellStyle name="Comma" xfId="1" builtinId="3"/>
    <cellStyle name="Hyperlink" xfId="2" builtinId="8"/>
    <cellStyle name="Negative Number" xfId="4" xr:uid="{2F1F85C9-C3DA-4531-90FA-608711A58DBD}"/>
    <cellStyle name="Normal" xfId="0" builtinId="0"/>
    <cellStyle name="Percent" xfId="5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CC"/>
      <color rgb="FF000066"/>
      <color rgb="FF0066FF"/>
      <color rgb="FF003366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D10-F054-4537-BE6D-DDDDB583A8FF}">
  <sheetPr>
    <tabColor theme="2" tint="-0.499984740745262"/>
  </sheetPr>
  <dimension ref="B2"/>
  <sheetViews>
    <sheetView showGridLines="0" workbookViewId="0">
      <selection activeCell="D3" sqref="D3"/>
    </sheetView>
  </sheetViews>
  <sheetFormatPr defaultRowHeight="14.4" x14ac:dyDescent="0.3"/>
  <sheetData>
    <row r="2" spans="2:2" x14ac:dyDescent="0.3">
      <c r="B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5D8-BC2D-4F92-A927-FB62C21A98EF}">
  <sheetPr>
    <tabColor rgb="FFFFC000"/>
  </sheetPr>
  <dimension ref="A1:N107"/>
  <sheetViews>
    <sheetView showGridLines="0" tabSelected="1" zoomScaleNormal="100" workbookViewId="0">
      <pane ySplit="3" topLeftCell="A46" activePane="bottomLeft" state="frozen"/>
      <selection pane="bottomLeft" activeCell="A46" sqref="A46"/>
    </sheetView>
  </sheetViews>
  <sheetFormatPr defaultRowHeight="14.4" x14ac:dyDescent="0.3"/>
  <cols>
    <col min="1" max="1" width="1.88671875" customWidth="1"/>
    <col min="2" max="2" width="30.77734375" style="8" customWidth="1"/>
    <col min="3" max="3" width="14.77734375" style="13" customWidth="1"/>
    <col min="4" max="12" width="14" style="13" customWidth="1"/>
    <col min="13" max="13" width="9.5546875" bestFit="1" customWidth="1"/>
  </cols>
  <sheetData>
    <row r="1" spans="1:12" x14ac:dyDescent="0.3">
      <c r="B1"/>
      <c r="C1"/>
      <c r="D1"/>
      <c r="E1"/>
      <c r="F1"/>
      <c r="G1"/>
      <c r="H1"/>
      <c r="I1"/>
      <c r="J1"/>
      <c r="K1"/>
      <c r="L1"/>
    </row>
    <row r="2" spans="1:12" x14ac:dyDescent="0.3">
      <c r="B2" s="73" t="str">
        <f>"Historical Financial Statements - "&amp;'Data Sheet'!B1</f>
        <v>Historical Financial Statements - RELIANCE INDUSTRIES LTD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</row>
    <row r="4" spans="1:12" s="11" customFormat="1" x14ac:dyDescent="0.3"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A5" t="s">
        <v>56</v>
      </c>
      <c r="B5" s="74" t="s">
        <v>57</v>
      </c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2" x14ac:dyDescent="0.3">
      <c r="B6" s="8" t="s">
        <v>0</v>
      </c>
      <c r="C6" s="14">
        <f>IFERROR('Data Sheet'!B17,0)</f>
        <v>433521</v>
      </c>
      <c r="D6" s="14">
        <f>IFERROR('Data Sheet'!C17,0)</f>
        <v>374372</v>
      </c>
      <c r="E6" s="14">
        <f>IFERROR('Data Sheet'!D17,0)</f>
        <v>272583</v>
      </c>
      <c r="F6" s="14">
        <f>IFERROR('Data Sheet'!E17,0)</f>
        <v>303954</v>
      </c>
      <c r="G6" s="14">
        <f>IFERROR('Data Sheet'!F17,0)</f>
        <v>390823</v>
      </c>
      <c r="H6" s="14">
        <f>IFERROR('Data Sheet'!G17,0)</f>
        <v>568337</v>
      </c>
      <c r="I6" s="14">
        <f>IFERROR('Data Sheet'!H17,0)</f>
        <v>596679</v>
      </c>
      <c r="J6" s="14">
        <f>IFERROR('Data Sheet'!I17,0)</f>
        <v>466307</v>
      </c>
      <c r="K6" s="14">
        <f>IFERROR('Data Sheet'!J17,0)</f>
        <v>698672</v>
      </c>
      <c r="L6" s="14">
        <f>IFERROR('Data Sheet'!K17,0)</f>
        <v>877835</v>
      </c>
    </row>
    <row r="7" spans="1:12" x14ac:dyDescent="0.3">
      <c r="B7" s="15" t="s">
        <v>9</v>
      </c>
      <c r="C7" s="16" t="s">
        <v>73</v>
      </c>
      <c r="D7" s="17">
        <f>D6/C6-1</f>
        <v>-0.13643860389692775</v>
      </c>
      <c r="E7" s="17">
        <f t="shared" ref="E7:L7" si="0">E6/D6-1</f>
        <v>-0.27189266291282466</v>
      </c>
      <c r="F7" s="17">
        <f t="shared" si="0"/>
        <v>0.11508788148930793</v>
      </c>
      <c r="G7" s="17">
        <f t="shared" si="0"/>
        <v>0.28579653500200686</v>
      </c>
      <c r="H7" s="17">
        <f t="shared" si="0"/>
        <v>0.45420561225925793</v>
      </c>
      <c r="I7" s="17">
        <f t="shared" si="0"/>
        <v>4.9868299969912266E-2</v>
      </c>
      <c r="J7" s="17">
        <f t="shared" si="0"/>
        <v>-0.21849604226057895</v>
      </c>
      <c r="K7" s="17">
        <f t="shared" si="0"/>
        <v>0.49830905390654645</v>
      </c>
      <c r="L7" s="17">
        <f t="shared" si="0"/>
        <v>0.25643363409439623</v>
      </c>
    </row>
    <row r="9" spans="1:12" x14ac:dyDescent="0.3">
      <c r="B9" s="8" t="s">
        <v>58</v>
      </c>
      <c r="C9" s="14">
        <f>IFERROR(SUM('Data Sheet'!B18,'Data Sheet'!B20:B22)-1*('Data Sheet'!B19),0)</f>
        <v>387403</v>
      </c>
      <c r="D9" s="14">
        <f>IFERROR(SUM('Data Sheet'!C18,'Data Sheet'!C20:C22)-1*('Data Sheet'!C19),0)</f>
        <v>322483</v>
      </c>
      <c r="E9" s="14">
        <f>IFERROR(SUM('Data Sheet'!D18,'Data Sheet'!D20:D22)-1*('Data Sheet'!D19),0)</f>
        <v>215234</v>
      </c>
      <c r="F9" s="14">
        <f>IFERROR(SUM('Data Sheet'!E18,'Data Sheet'!E20:E22)-1*('Data Sheet'!E19),0)</f>
        <v>241848</v>
      </c>
      <c r="G9" s="14">
        <f>IFERROR(SUM('Data Sheet'!F18,'Data Sheet'!F20:F22)-1*('Data Sheet'!F19),0)</f>
        <v>301249</v>
      </c>
      <c r="H9" s="14">
        <f>IFERROR(SUM('Data Sheet'!G18,'Data Sheet'!G20:G22)-1*('Data Sheet'!G19),0)</f>
        <v>436202</v>
      </c>
      <c r="I9" s="14">
        <f>IFERROR(SUM('Data Sheet'!H18,'Data Sheet'!H20:H22)-1*('Data Sheet'!H19),0)</f>
        <v>445847</v>
      </c>
      <c r="J9" s="14">
        <f>IFERROR(SUM('Data Sheet'!I18,'Data Sheet'!I20:I22)-1*('Data Sheet'!I19),0)</f>
        <v>328419</v>
      </c>
      <c r="K9" s="14">
        <f>IFERROR(SUM('Data Sheet'!J18,'Data Sheet'!J20:J22)-1*('Data Sheet'!J19),0)</f>
        <v>523763</v>
      </c>
      <c r="L9" s="14">
        <f>IFERROR(SUM('Data Sheet'!K18,'Data Sheet'!K20:K22)-1*('Data Sheet'!K19),0)</f>
        <v>613355</v>
      </c>
    </row>
    <row r="10" spans="1:12" x14ac:dyDescent="0.3">
      <c r="B10" s="15" t="s">
        <v>59</v>
      </c>
      <c r="C10" s="17">
        <f>C9/C6</f>
        <v>0.89361991691290621</v>
      </c>
      <c r="D10" s="17">
        <f t="shared" ref="D10:L10" si="1">D9/D6</f>
        <v>0.86139721987755491</v>
      </c>
      <c r="E10" s="17">
        <f t="shared" si="1"/>
        <v>0.789609036513649</v>
      </c>
      <c r="F10" s="17">
        <f t="shared" si="1"/>
        <v>0.79567302947156482</v>
      </c>
      <c r="G10" s="17">
        <f t="shared" si="1"/>
        <v>0.77080673348293216</v>
      </c>
      <c r="H10" s="17">
        <f t="shared" si="1"/>
        <v>0.76750589878892272</v>
      </c>
      <c r="I10" s="17">
        <f t="shared" si="1"/>
        <v>0.7472141637295765</v>
      </c>
      <c r="J10" s="17">
        <f t="shared" si="1"/>
        <v>0.70429781238540279</v>
      </c>
      <c r="K10" s="17">
        <f t="shared" si="1"/>
        <v>0.749655059885039</v>
      </c>
      <c r="L10" s="17">
        <f t="shared" si="1"/>
        <v>0.6987133117271469</v>
      </c>
    </row>
    <row r="12" spans="1:12" x14ac:dyDescent="0.3">
      <c r="B12" s="27" t="s">
        <v>60</v>
      </c>
      <c r="C12" s="28">
        <f>IFERROR(C6-C9,0)</f>
        <v>46118</v>
      </c>
      <c r="D12" s="28">
        <f t="shared" ref="D12:L12" si="2">IFERROR(D6-D9,0)</f>
        <v>51889</v>
      </c>
      <c r="E12" s="28">
        <f t="shared" si="2"/>
        <v>57349</v>
      </c>
      <c r="F12" s="28">
        <f t="shared" si="2"/>
        <v>62106</v>
      </c>
      <c r="G12" s="28">
        <f t="shared" si="2"/>
        <v>89574</v>
      </c>
      <c r="H12" s="28">
        <f t="shared" si="2"/>
        <v>132135</v>
      </c>
      <c r="I12" s="28">
        <f t="shared" si="2"/>
        <v>150832</v>
      </c>
      <c r="J12" s="28">
        <f t="shared" si="2"/>
        <v>137888</v>
      </c>
      <c r="K12" s="28">
        <f t="shared" si="2"/>
        <v>174909</v>
      </c>
      <c r="L12" s="28">
        <f t="shared" si="2"/>
        <v>264480</v>
      </c>
    </row>
    <row r="13" spans="1:12" x14ac:dyDescent="0.3">
      <c r="B13" s="15" t="s">
        <v>61</v>
      </c>
      <c r="C13" s="17">
        <f>C12/C6</f>
        <v>0.10638008308709382</v>
      </c>
      <c r="D13" s="17">
        <f t="shared" ref="D13:L13" si="3">D12/D6</f>
        <v>0.13860278012244506</v>
      </c>
      <c r="E13" s="17">
        <f t="shared" si="3"/>
        <v>0.21039096348635095</v>
      </c>
      <c r="F13" s="17">
        <f t="shared" si="3"/>
        <v>0.20432697052843524</v>
      </c>
      <c r="G13" s="17">
        <f t="shared" si="3"/>
        <v>0.22919326651706784</v>
      </c>
      <c r="H13" s="17">
        <f t="shared" si="3"/>
        <v>0.23249410121107722</v>
      </c>
      <c r="I13" s="17">
        <f t="shared" si="3"/>
        <v>0.25278583627042345</v>
      </c>
      <c r="J13" s="17">
        <f t="shared" si="3"/>
        <v>0.29570218761459727</v>
      </c>
      <c r="K13" s="17">
        <f t="shared" si="3"/>
        <v>0.25034494011496095</v>
      </c>
      <c r="L13" s="17">
        <f t="shared" si="3"/>
        <v>0.3012866882728531</v>
      </c>
    </row>
    <row r="15" spans="1:12" x14ac:dyDescent="0.3">
      <c r="B15" s="8" t="s">
        <v>62</v>
      </c>
      <c r="C15" s="14">
        <f>IFERROR(SUM('Data Sheet'!B23:B24),0)</f>
        <v>11183</v>
      </c>
      <c r="D15" s="14">
        <f>IFERROR(SUM('Data Sheet'!C23:C24),0)</f>
        <v>14440</v>
      </c>
      <c r="E15" s="14">
        <f>IFERROR(SUM('Data Sheet'!D23:D24),0)</f>
        <v>15568</v>
      </c>
      <c r="F15" s="14">
        <f>IFERROR(SUM('Data Sheet'!E23:E24),0)</f>
        <v>15799</v>
      </c>
      <c r="G15" s="14">
        <f>IFERROR(SUM('Data Sheet'!F23:F24),0)</f>
        <v>25259</v>
      </c>
      <c r="H15" s="14">
        <f>IFERROR(SUM('Data Sheet'!G23:G24),0)</f>
        <v>47885</v>
      </c>
      <c r="I15" s="14">
        <f>IFERROR(SUM('Data Sheet'!H23:H24),0)</f>
        <v>61566</v>
      </c>
      <c r="J15" s="14">
        <f>IFERROR(SUM('Data Sheet'!I23:I24),0)</f>
        <v>57098</v>
      </c>
      <c r="K15" s="14">
        <f>IFERROR(SUM('Data Sheet'!J23:J24),0)</f>
        <v>64314</v>
      </c>
      <c r="L15" s="14">
        <f>IFERROR(SUM('Data Sheet'!K23:K24),0)</f>
        <v>122318</v>
      </c>
    </row>
    <row r="16" spans="1:12" x14ac:dyDescent="0.3">
      <c r="B16" s="15" t="s">
        <v>63</v>
      </c>
      <c r="C16" s="17">
        <f>C15/C6</f>
        <v>2.5795751532221047E-2</v>
      </c>
      <c r="D16" s="17">
        <f t="shared" ref="D16:L16" si="4">D15/D6</f>
        <v>3.857126067120404E-2</v>
      </c>
      <c r="E16" s="17">
        <f t="shared" si="4"/>
        <v>5.7112879379858615E-2</v>
      </c>
      <c r="F16" s="17">
        <f t="shared" si="4"/>
        <v>5.1978259868269538E-2</v>
      </c>
      <c r="G16" s="17">
        <f t="shared" si="4"/>
        <v>6.4630280203570409E-2</v>
      </c>
      <c r="H16" s="17">
        <f t="shared" si="4"/>
        <v>8.425458838681979E-2</v>
      </c>
      <c r="I16" s="17">
        <f t="shared" si="4"/>
        <v>0.10318110742962296</v>
      </c>
      <c r="J16" s="17">
        <f t="shared" si="4"/>
        <v>0.12244722897147159</v>
      </c>
      <c r="K16" s="17">
        <f t="shared" si="4"/>
        <v>9.2051778230700529E-2</v>
      </c>
      <c r="L16" s="17">
        <f t="shared" si="4"/>
        <v>0.13934053666121765</v>
      </c>
    </row>
    <row r="18" spans="2:12" x14ac:dyDescent="0.3">
      <c r="B18" s="27" t="s">
        <v>64</v>
      </c>
      <c r="C18" s="28">
        <f>IFERROR(C12-C15,0)</f>
        <v>34935</v>
      </c>
      <c r="D18" s="28">
        <f t="shared" ref="D18:L18" si="5">IFERROR(D12-D15,0)</f>
        <v>37449</v>
      </c>
      <c r="E18" s="28">
        <f t="shared" si="5"/>
        <v>41781</v>
      </c>
      <c r="F18" s="28">
        <f t="shared" si="5"/>
        <v>46307</v>
      </c>
      <c r="G18" s="28">
        <f t="shared" si="5"/>
        <v>64315</v>
      </c>
      <c r="H18" s="28">
        <f t="shared" si="5"/>
        <v>84250</v>
      </c>
      <c r="I18" s="28">
        <f t="shared" si="5"/>
        <v>89266</v>
      </c>
      <c r="J18" s="28">
        <f t="shared" si="5"/>
        <v>80790</v>
      </c>
      <c r="K18" s="28">
        <f t="shared" si="5"/>
        <v>110595</v>
      </c>
      <c r="L18" s="28">
        <f t="shared" si="5"/>
        <v>142162</v>
      </c>
    </row>
    <row r="19" spans="2:12" x14ac:dyDescent="0.3">
      <c r="B19" s="15" t="s">
        <v>65</v>
      </c>
      <c r="C19" s="17">
        <f>C18/C6</f>
        <v>8.0584331554872768E-2</v>
      </c>
      <c r="D19" s="17">
        <f t="shared" ref="D19:L19" si="6">D18/D6</f>
        <v>0.10003151945124102</v>
      </c>
      <c r="E19" s="17">
        <f t="shared" si="6"/>
        <v>0.15327808410649232</v>
      </c>
      <c r="F19" s="17">
        <f t="shared" si="6"/>
        <v>0.15234871066016567</v>
      </c>
      <c r="G19" s="17">
        <f t="shared" si="6"/>
        <v>0.16456298631349742</v>
      </c>
      <c r="H19" s="17">
        <f t="shared" si="6"/>
        <v>0.14823951282425743</v>
      </c>
      <c r="I19" s="17">
        <f t="shared" si="6"/>
        <v>0.1496047288408005</v>
      </c>
      <c r="J19" s="17">
        <f t="shared" si="6"/>
        <v>0.17325495864312568</v>
      </c>
      <c r="K19" s="17">
        <f t="shared" si="6"/>
        <v>0.15829316188426043</v>
      </c>
      <c r="L19" s="17">
        <f t="shared" si="6"/>
        <v>0.16194615161163545</v>
      </c>
    </row>
    <row r="21" spans="2:12" x14ac:dyDescent="0.3">
      <c r="B21" s="8" t="s">
        <v>5</v>
      </c>
      <c r="C21" s="14">
        <f>IFERROR('Data Sheet'!B27,0)</f>
        <v>3836</v>
      </c>
      <c r="D21" s="14">
        <f>IFERROR('Data Sheet'!C27,0)</f>
        <v>3316</v>
      </c>
      <c r="E21" s="14">
        <f>IFERROR('Data Sheet'!D27,0)</f>
        <v>3691</v>
      </c>
      <c r="F21" s="14">
        <f>IFERROR('Data Sheet'!E27,0)</f>
        <v>3849</v>
      </c>
      <c r="G21" s="14">
        <f>IFERROR('Data Sheet'!F27,0)</f>
        <v>8052</v>
      </c>
      <c r="H21" s="14">
        <f>IFERROR('Data Sheet'!G27,0)</f>
        <v>16495</v>
      </c>
      <c r="I21" s="14">
        <f>IFERROR('Data Sheet'!H27,0)</f>
        <v>22027</v>
      </c>
      <c r="J21" s="14">
        <f>IFERROR('Data Sheet'!I27,0)</f>
        <v>21189</v>
      </c>
      <c r="K21" s="14">
        <f>IFERROR('Data Sheet'!J27,0)</f>
        <v>14584</v>
      </c>
      <c r="L21" s="14">
        <f>IFERROR('Data Sheet'!K27,0)</f>
        <v>19571</v>
      </c>
    </row>
    <row r="22" spans="2:12" x14ac:dyDescent="0.3">
      <c r="B22" s="15" t="s">
        <v>66</v>
      </c>
      <c r="C22" s="17">
        <f>C21/C6</f>
        <v>8.8484756217115206E-3</v>
      </c>
      <c r="D22" s="17">
        <f t="shared" ref="D22:L22" si="7">D21/D6</f>
        <v>8.8575000267113995E-3</v>
      </c>
      <c r="E22" s="17">
        <f t="shared" si="7"/>
        <v>1.3540829765612676E-2</v>
      </c>
      <c r="F22" s="17">
        <f t="shared" si="7"/>
        <v>1.2663100337551077E-2</v>
      </c>
      <c r="G22" s="17">
        <f t="shared" si="7"/>
        <v>2.0602676915125261E-2</v>
      </c>
      <c r="H22" s="17">
        <f t="shared" si="7"/>
        <v>2.902327316363355E-2</v>
      </c>
      <c r="I22" s="17">
        <f t="shared" si="7"/>
        <v>3.6915996708447925E-2</v>
      </c>
      <c r="J22" s="17">
        <f t="shared" si="7"/>
        <v>4.5440021273538675E-2</v>
      </c>
      <c r="K22" s="17">
        <f t="shared" si="7"/>
        <v>2.0873886458881993E-2</v>
      </c>
      <c r="L22" s="17">
        <f t="shared" si="7"/>
        <v>2.2294622565744132E-2</v>
      </c>
    </row>
    <row r="24" spans="2:12" x14ac:dyDescent="0.3">
      <c r="B24" s="8" t="s">
        <v>4</v>
      </c>
      <c r="C24" s="14">
        <f>IFERROR('Data Sheet'!B26,0)</f>
        <v>11201</v>
      </c>
      <c r="D24" s="14">
        <f>IFERROR('Data Sheet'!C26,0)</f>
        <v>11547</v>
      </c>
      <c r="E24" s="14">
        <f>IFERROR('Data Sheet'!D26,0)</f>
        <v>11565</v>
      </c>
      <c r="F24" s="14">
        <f>IFERROR('Data Sheet'!E26,0)</f>
        <v>11646</v>
      </c>
      <c r="G24" s="14">
        <f>IFERROR('Data Sheet'!F26,0)</f>
        <v>16706</v>
      </c>
      <c r="H24" s="14">
        <f>IFERROR('Data Sheet'!G26,0)</f>
        <v>20934</v>
      </c>
      <c r="I24" s="14">
        <f>IFERROR('Data Sheet'!H26,0)</f>
        <v>22203</v>
      </c>
      <c r="J24" s="14">
        <f>IFERROR('Data Sheet'!I26,0)</f>
        <v>26572</v>
      </c>
      <c r="K24" s="14">
        <f>IFERROR('Data Sheet'!J26,0)</f>
        <v>29797</v>
      </c>
      <c r="L24" s="14">
        <f>IFERROR('Data Sheet'!K26,0)</f>
        <v>40303</v>
      </c>
    </row>
    <row r="25" spans="2:12" x14ac:dyDescent="0.3">
      <c r="B25" s="15" t="s">
        <v>67</v>
      </c>
      <c r="C25" s="17">
        <f>C24/C6</f>
        <v>2.5837272012197793E-2</v>
      </c>
      <c r="D25" s="17">
        <f t="shared" ref="D25:L25" si="8">D24/D6</f>
        <v>3.0843652837284841E-2</v>
      </c>
      <c r="E25" s="17">
        <f t="shared" si="8"/>
        <v>4.242744411793839E-2</v>
      </c>
      <c r="F25" s="17">
        <f t="shared" si="8"/>
        <v>3.8315008192029057E-2</v>
      </c>
      <c r="G25" s="17">
        <f t="shared" si="8"/>
        <v>4.2745693063100179E-2</v>
      </c>
      <c r="H25" s="17">
        <f t="shared" si="8"/>
        <v>3.6833779958017863E-2</v>
      </c>
      <c r="I25" s="17">
        <f t="shared" si="8"/>
        <v>3.721096267842508E-2</v>
      </c>
      <c r="J25" s="17">
        <f t="shared" si="8"/>
        <v>5.6983918319905125E-2</v>
      </c>
      <c r="K25" s="17">
        <f t="shared" si="8"/>
        <v>4.2648052304944235E-2</v>
      </c>
      <c r="L25" s="17">
        <f t="shared" si="8"/>
        <v>4.5911817141034476E-2</v>
      </c>
    </row>
    <row r="27" spans="2:12" x14ac:dyDescent="0.3">
      <c r="B27" s="27" t="s">
        <v>68</v>
      </c>
      <c r="C27" s="28">
        <f>IFERROR(C18-SUM(C21+C24),0)</f>
        <v>19898</v>
      </c>
      <c r="D27" s="28">
        <f t="shared" ref="D27:L27" si="9">IFERROR(D18-SUM(D21+D24),0)</f>
        <v>22586</v>
      </c>
      <c r="E27" s="28">
        <f t="shared" si="9"/>
        <v>26525</v>
      </c>
      <c r="F27" s="28">
        <f t="shared" si="9"/>
        <v>30812</v>
      </c>
      <c r="G27" s="28">
        <f t="shared" si="9"/>
        <v>39557</v>
      </c>
      <c r="H27" s="29">
        <f t="shared" si="9"/>
        <v>46821</v>
      </c>
      <c r="I27" s="29">
        <f t="shared" si="9"/>
        <v>45036</v>
      </c>
      <c r="J27" s="28">
        <f t="shared" si="9"/>
        <v>33029</v>
      </c>
      <c r="K27" s="29">
        <f t="shared" si="9"/>
        <v>66214</v>
      </c>
      <c r="L27" s="29">
        <f t="shared" si="9"/>
        <v>82288</v>
      </c>
    </row>
    <row r="28" spans="2:12" x14ac:dyDescent="0.3">
      <c r="B28" s="15" t="s">
        <v>69</v>
      </c>
      <c r="C28" s="17">
        <f>C27/C6</f>
        <v>4.5898583920963458E-2</v>
      </c>
      <c r="D28" s="17">
        <f t="shared" ref="D28:L28" si="10">D27/D6</f>
        <v>6.033036658724477E-2</v>
      </c>
      <c r="E28" s="17">
        <f t="shared" si="10"/>
        <v>9.7309810222941273E-2</v>
      </c>
      <c r="F28" s="17">
        <f t="shared" si="10"/>
        <v>0.10137060213058555</v>
      </c>
      <c r="G28" s="17">
        <f t="shared" si="10"/>
        <v>0.10121461633527198</v>
      </c>
      <c r="H28" s="17">
        <f t="shared" si="10"/>
        <v>8.238245970260602E-2</v>
      </c>
      <c r="I28" s="17">
        <f t="shared" si="10"/>
        <v>7.5477769453927493E-2</v>
      </c>
      <c r="J28" s="17">
        <f t="shared" si="10"/>
        <v>7.0831019049681865E-2</v>
      </c>
      <c r="K28" s="17">
        <f t="shared" si="10"/>
        <v>9.4771223120434192E-2</v>
      </c>
      <c r="L28" s="17">
        <f t="shared" si="10"/>
        <v>9.3739711904856832E-2</v>
      </c>
    </row>
    <row r="30" spans="2:12" x14ac:dyDescent="0.3">
      <c r="B30" s="8" t="s">
        <v>7</v>
      </c>
      <c r="C30" s="14">
        <f>IFERROR('Data Sheet'!B29,0)</f>
        <v>6215</v>
      </c>
      <c r="D30" s="14">
        <f>IFERROR('Data Sheet'!C29,0)</f>
        <v>7474</v>
      </c>
      <c r="E30" s="14">
        <f>IFERROR('Data Sheet'!D29,0)</f>
        <v>8876</v>
      </c>
      <c r="F30" s="14">
        <f>IFERROR('Data Sheet'!E29,0)</f>
        <v>10201</v>
      </c>
      <c r="G30" s="14">
        <f>IFERROR('Data Sheet'!F29,0)</f>
        <v>13346</v>
      </c>
      <c r="H30" s="18">
        <f>IFERROR('Data Sheet'!G29,0)</f>
        <v>15390</v>
      </c>
      <c r="I30" s="14">
        <f>IFERROR('Data Sheet'!H29,0)</f>
        <v>13726</v>
      </c>
      <c r="J30" s="14">
        <f>IFERROR('Data Sheet'!I29,0)</f>
        <v>1722</v>
      </c>
      <c r="K30" s="14">
        <f>IFERROR('Data Sheet'!J29,0)</f>
        <v>16297</v>
      </c>
      <c r="L30" s="14">
        <f>IFERROR('Data Sheet'!K29,0)</f>
        <v>20376</v>
      </c>
    </row>
    <row r="31" spans="2:12" x14ac:dyDescent="0.3">
      <c r="B31" s="15" t="s">
        <v>70</v>
      </c>
      <c r="C31" s="17">
        <f>C30/C27</f>
        <v>0.31234294904010451</v>
      </c>
      <c r="D31" s="17">
        <f t="shared" ref="D31:L31" si="11">D30/D27</f>
        <v>0.3309129549278314</v>
      </c>
      <c r="E31" s="17">
        <f t="shared" si="11"/>
        <v>0.3346277097078228</v>
      </c>
      <c r="F31" s="17">
        <f t="shared" si="11"/>
        <v>0.33107230948980915</v>
      </c>
      <c r="G31" s="17">
        <f t="shared" si="11"/>
        <v>0.33738655610890611</v>
      </c>
      <c r="H31" s="17">
        <f t="shared" si="11"/>
        <v>0.32869866085730765</v>
      </c>
      <c r="I31" s="17">
        <f t="shared" si="11"/>
        <v>0.30477839950262015</v>
      </c>
      <c r="J31" s="17">
        <f t="shared" si="11"/>
        <v>5.2136001695479731E-2</v>
      </c>
      <c r="K31" s="17">
        <f t="shared" si="11"/>
        <v>0.24612619687679343</v>
      </c>
      <c r="L31" s="17">
        <f t="shared" si="11"/>
        <v>0.24761812171884115</v>
      </c>
    </row>
    <row r="33" spans="1:13" x14ac:dyDescent="0.3">
      <c r="B33" s="27" t="s">
        <v>71</v>
      </c>
      <c r="C33" s="28">
        <f>IFERROR(C27-C30,0)</f>
        <v>13683</v>
      </c>
      <c r="D33" s="28">
        <f t="shared" ref="D33:L33" si="12">IFERROR(D27-D30,0)</f>
        <v>15112</v>
      </c>
      <c r="E33" s="28">
        <f t="shared" si="12"/>
        <v>17649</v>
      </c>
      <c r="F33" s="28">
        <f t="shared" si="12"/>
        <v>20611</v>
      </c>
      <c r="G33" s="28">
        <f t="shared" si="12"/>
        <v>26211</v>
      </c>
      <c r="H33" s="29">
        <f t="shared" si="12"/>
        <v>31431</v>
      </c>
      <c r="I33" s="29">
        <f t="shared" si="12"/>
        <v>31310</v>
      </c>
      <c r="J33" s="29">
        <f t="shared" si="12"/>
        <v>31307</v>
      </c>
      <c r="K33" s="29">
        <f t="shared" si="12"/>
        <v>49917</v>
      </c>
      <c r="L33" s="29">
        <f t="shared" si="12"/>
        <v>61912</v>
      </c>
      <c r="M33" s="45"/>
    </row>
    <row r="34" spans="1:13" x14ac:dyDescent="0.3">
      <c r="B34" s="15" t="s">
        <v>72</v>
      </c>
      <c r="C34" s="17">
        <f>C33/C6</f>
        <v>3.1562484862325012E-2</v>
      </c>
      <c r="D34" s="17">
        <f t="shared" ref="D34:L34" si="13">D33/D6</f>
        <v>4.0366266707980297E-2</v>
      </c>
      <c r="E34" s="17">
        <f t="shared" si="13"/>
        <v>6.4747251295935546E-2</v>
      </c>
      <c r="F34" s="17">
        <f t="shared" si="13"/>
        <v>6.7809602768840016E-2</v>
      </c>
      <c r="G34" s="17">
        <f t="shared" si="13"/>
        <v>6.7066165502030331E-2</v>
      </c>
      <c r="H34" s="17">
        <f t="shared" si="13"/>
        <v>5.5303455520228313E-2</v>
      </c>
      <c r="I34" s="17">
        <f t="shared" si="13"/>
        <v>5.247377568173172E-2</v>
      </c>
      <c r="J34" s="17">
        <f t="shared" si="13"/>
        <v>6.7138172920415087E-2</v>
      </c>
      <c r="K34" s="17">
        <f t="shared" si="13"/>
        <v>7.1445542400439696E-2</v>
      </c>
      <c r="L34" s="17">
        <f t="shared" si="13"/>
        <v>7.0528060512510898E-2</v>
      </c>
    </row>
    <row r="36" spans="1:13" x14ac:dyDescent="0.3">
      <c r="B36" s="8" t="s">
        <v>74</v>
      </c>
      <c r="C36" s="13">
        <f>IFERROR('Data Sheet'!B93,0)</f>
        <v>689.48</v>
      </c>
      <c r="D36" s="13">
        <f>IFERROR('Data Sheet'!C93,0)</f>
        <v>690.28</v>
      </c>
      <c r="E36" s="13">
        <f>IFERROR('Data Sheet'!D93,0)</f>
        <v>691.28</v>
      </c>
      <c r="F36" s="13">
        <f>IFERROR('Data Sheet'!E93,0)</f>
        <v>693.62</v>
      </c>
      <c r="G36" s="13">
        <f>IFERROR('Data Sheet'!F93,0)</f>
        <v>675.7</v>
      </c>
      <c r="H36" s="13">
        <f>IFERROR('Data Sheet'!G93,0)</f>
        <v>676.13</v>
      </c>
      <c r="I36" s="13">
        <f>IFERROR('Data Sheet'!H93,0)</f>
        <v>676.19</v>
      </c>
      <c r="J36" s="13">
        <f>IFERROR('Data Sheet'!I93,0)</f>
        <v>633.94000000000005</v>
      </c>
      <c r="K36" s="13">
        <f>IFERROR('Data Sheet'!J93,0)</f>
        <v>676.49</v>
      </c>
      <c r="L36" s="13">
        <f>IFERROR('Data Sheet'!K93,0)</f>
        <v>676.56</v>
      </c>
    </row>
    <row r="38" spans="1:13" x14ac:dyDescent="0.3">
      <c r="B38" s="37" t="s">
        <v>75</v>
      </c>
      <c r="C38" s="38">
        <f>C33/C36</f>
        <v>19.845390729245228</v>
      </c>
      <c r="D38" s="38">
        <f t="shared" ref="D38:L38" si="14">D33/D36</f>
        <v>21.892565335805759</v>
      </c>
      <c r="E38" s="38">
        <f t="shared" si="14"/>
        <v>25.530899201481311</v>
      </c>
      <c r="F38" s="38">
        <f t="shared" si="14"/>
        <v>29.71511778783772</v>
      </c>
      <c r="G38" s="38">
        <f t="shared" si="14"/>
        <v>38.790883528192985</v>
      </c>
      <c r="H38" s="39">
        <f t="shared" si="14"/>
        <v>46.486622395101534</v>
      </c>
      <c r="I38" s="39">
        <f t="shared" si="14"/>
        <v>46.303553734896994</v>
      </c>
      <c r="J38" s="39">
        <f t="shared" si="14"/>
        <v>49.384799823327121</v>
      </c>
      <c r="K38" s="39">
        <f t="shared" si="14"/>
        <v>73.788230424692159</v>
      </c>
      <c r="L38" s="39">
        <f t="shared" si="14"/>
        <v>91.509991722833163</v>
      </c>
    </row>
    <row r="39" spans="1:13" x14ac:dyDescent="0.3">
      <c r="B39" s="25" t="s">
        <v>76</v>
      </c>
      <c r="C39" s="31" t="s">
        <v>73</v>
      </c>
      <c r="D39" s="32">
        <f>D38/C38-1</f>
        <v>0.10315617538049815</v>
      </c>
      <c r="E39" s="32">
        <f t="shared" ref="E39:L39" si="15">E38/D38-1</f>
        <v>0.1661903851772446</v>
      </c>
      <c r="F39" s="32">
        <f t="shared" si="15"/>
        <v>0.16388841432242374</v>
      </c>
      <c r="G39" s="32">
        <f t="shared" si="15"/>
        <v>0.30542587127384491</v>
      </c>
      <c r="H39" s="32">
        <f t="shared" si="15"/>
        <v>0.19839039915951728</v>
      </c>
      <c r="I39" s="32">
        <f t="shared" si="15"/>
        <v>-3.9380933862777079E-3</v>
      </c>
      <c r="J39" s="32">
        <f t="shared" si="15"/>
        <v>6.6544483951950451E-2</v>
      </c>
      <c r="K39" s="32">
        <f t="shared" si="15"/>
        <v>0.49414861837382551</v>
      </c>
      <c r="L39" s="32">
        <f t="shared" si="15"/>
        <v>0.24017056915638779</v>
      </c>
    </row>
    <row r="41" spans="1:13" x14ac:dyDescent="0.3">
      <c r="B41" s="8" t="s">
        <v>77</v>
      </c>
      <c r="C41" s="19">
        <f>IFERROR('Data Sheet'!B31/C36,0)</f>
        <v>4.0508789232465041</v>
      </c>
      <c r="D41" s="19">
        <f>IFERROR('Data Sheet'!C31/D36,0)</f>
        <v>4.2634872805238455</v>
      </c>
      <c r="E41" s="19">
        <f>IFERROR('Data Sheet'!D31/E36,0)</f>
        <v>4.4777803494965864</v>
      </c>
      <c r="F41" s="19">
        <f>IFERROR('Data Sheet'!E31/F36,0)</f>
        <v>4.6926270868775415</v>
      </c>
      <c r="G41" s="19">
        <f>IFERROR('Data Sheet'!F31/G36,0)</f>
        <v>5.2585466923190758</v>
      </c>
      <c r="H41" s="19">
        <f>IFERROR('Data Sheet'!G31/H36,0)</f>
        <v>5.6969813497404349</v>
      </c>
      <c r="I41" s="19">
        <f>IFERROR('Data Sheet'!H31/I36,0)</f>
        <v>6.0934796432955238</v>
      </c>
      <c r="J41" s="19">
        <f>IFERROR('Data Sheet'!I31/J36,0)</f>
        <v>7.1166040950247655</v>
      </c>
      <c r="K41" s="19">
        <f>IFERROR('Data Sheet'!J31/K36,0)</f>
        <v>8.000118257476089</v>
      </c>
      <c r="L41" s="19">
        <f>IFERROR('Data Sheet'!K31/L36,0)</f>
        <v>0</v>
      </c>
    </row>
    <row r="42" spans="1:13" x14ac:dyDescent="0.3">
      <c r="B42" s="8" t="s">
        <v>78</v>
      </c>
      <c r="C42" s="16">
        <f>C41/C38</f>
        <v>0.2041219030914273</v>
      </c>
      <c r="D42" s="17">
        <f t="shared" ref="D42:L42" si="16">D41/D38</f>
        <v>0.19474589730015882</v>
      </c>
      <c r="E42" s="17">
        <f t="shared" si="16"/>
        <v>0.17538670746217916</v>
      </c>
      <c r="F42" s="17">
        <f t="shared" si="16"/>
        <v>0.15792052787346564</v>
      </c>
      <c r="G42" s="17">
        <f t="shared" si="16"/>
        <v>0.13556140551676776</v>
      </c>
      <c r="H42" s="17">
        <f t="shared" si="16"/>
        <v>0.12255098469663708</v>
      </c>
      <c r="I42" s="17">
        <f t="shared" si="16"/>
        <v>0.13159853082082404</v>
      </c>
      <c r="J42" s="17">
        <f t="shared" si="16"/>
        <v>0.14410515220238287</v>
      </c>
      <c r="K42" s="17">
        <f t="shared" si="16"/>
        <v>0.10841997716208907</v>
      </c>
      <c r="L42" s="17">
        <f t="shared" si="16"/>
        <v>0</v>
      </c>
    </row>
    <row r="44" spans="1:13" ht="15" thickBot="1" x14ac:dyDescent="0.35">
      <c r="B44" s="35" t="s">
        <v>79</v>
      </c>
      <c r="C44" s="36">
        <f>IFERROR(IF(C38&gt;C41,1-C42,0),0)</f>
        <v>0.7958780969085727</v>
      </c>
      <c r="D44" s="36">
        <f t="shared" ref="D44:L44" si="17">IFERROR(IF(D38&gt;D41,1-D42,0),0)</f>
        <v>0.80525410269984121</v>
      </c>
      <c r="E44" s="36">
        <f t="shared" si="17"/>
        <v>0.8246132925378209</v>
      </c>
      <c r="F44" s="36">
        <f t="shared" si="17"/>
        <v>0.84207947212653433</v>
      </c>
      <c r="G44" s="36">
        <f t="shared" si="17"/>
        <v>0.86443859448323224</v>
      </c>
      <c r="H44" s="36">
        <f t="shared" si="17"/>
        <v>0.87744901530336294</v>
      </c>
      <c r="I44" s="36">
        <f t="shared" si="17"/>
        <v>0.86840146917917593</v>
      </c>
      <c r="J44" s="36">
        <f t="shared" si="17"/>
        <v>0.85589484779761715</v>
      </c>
      <c r="K44" s="36">
        <f t="shared" si="17"/>
        <v>0.89158002283791093</v>
      </c>
      <c r="L44" s="36">
        <f t="shared" si="17"/>
        <v>1</v>
      </c>
    </row>
    <row r="45" spans="1:13" ht="15" thickTop="1" x14ac:dyDescent="0.3"/>
    <row r="46" spans="1:13" x14ac:dyDescent="0.3">
      <c r="A46" t="s">
        <v>56</v>
      </c>
      <c r="B46" s="74" t="s">
        <v>80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1:13" x14ac:dyDescent="0.3">
      <c r="B47" s="4" t="s">
        <v>10</v>
      </c>
      <c r="C47" s="14">
        <f>IFERROR('Data Sheet'!B57,0)</f>
        <v>2940</v>
      </c>
      <c r="D47" s="14">
        <f>IFERROR('Data Sheet'!C57,0)</f>
        <v>2943</v>
      </c>
      <c r="E47" s="14">
        <f>IFERROR('Data Sheet'!D57,0)</f>
        <v>2948</v>
      </c>
      <c r="F47" s="14">
        <f>IFERROR('Data Sheet'!E57,0)</f>
        <v>2959</v>
      </c>
      <c r="G47" s="14">
        <f>IFERROR('Data Sheet'!F57,0)</f>
        <v>5922</v>
      </c>
      <c r="H47" s="14">
        <f>IFERROR('Data Sheet'!G57,0)</f>
        <v>5926</v>
      </c>
      <c r="I47" s="14">
        <f>IFERROR('Data Sheet'!H57,0)</f>
        <v>6339</v>
      </c>
      <c r="J47" s="14">
        <f>IFERROR('Data Sheet'!I57,0)</f>
        <v>6445</v>
      </c>
      <c r="K47" s="14">
        <f>IFERROR('Data Sheet'!J57,0)</f>
        <v>6765</v>
      </c>
      <c r="L47" s="14">
        <f>IFERROR('Data Sheet'!K57,0)</f>
        <v>6766</v>
      </c>
    </row>
    <row r="48" spans="1:13" x14ac:dyDescent="0.3">
      <c r="B48" s="4" t="s">
        <v>11</v>
      </c>
      <c r="C48" s="14">
        <f>IFERROR('Data Sheet'!B58,0)</f>
        <v>195747</v>
      </c>
      <c r="D48" s="14">
        <f>IFERROR('Data Sheet'!C58,0)</f>
        <v>215556</v>
      </c>
      <c r="E48" s="14">
        <f>IFERROR('Data Sheet'!D58,0)</f>
        <v>228608</v>
      </c>
      <c r="F48" s="14">
        <f>IFERROR('Data Sheet'!E58,0)</f>
        <v>260750</v>
      </c>
      <c r="G48" s="14">
        <f>IFERROR('Data Sheet'!F58,0)</f>
        <v>287584</v>
      </c>
      <c r="H48" s="14">
        <f>IFERROR('Data Sheet'!G58,0)</f>
        <v>381186</v>
      </c>
      <c r="I48" s="14">
        <f>IFERROR('Data Sheet'!H58,0)</f>
        <v>442827</v>
      </c>
      <c r="J48" s="14">
        <f>IFERROR('Data Sheet'!I58,0)</f>
        <v>693727</v>
      </c>
      <c r="K48" s="14">
        <f>IFERROR('Data Sheet'!J58,0)</f>
        <v>772720</v>
      </c>
      <c r="L48" s="14">
        <f>IFERROR('Data Sheet'!K58,0)</f>
        <v>814387</v>
      </c>
    </row>
    <row r="49" spans="2:12" x14ac:dyDescent="0.3">
      <c r="B49" s="4" t="s">
        <v>35</v>
      </c>
      <c r="C49" s="14">
        <f>IFERROR('Data Sheet'!B59,0)</f>
        <v>138761</v>
      </c>
      <c r="D49" s="14">
        <f>IFERROR('Data Sheet'!C59,0)</f>
        <v>168251</v>
      </c>
      <c r="E49" s="14">
        <f>IFERROR('Data Sheet'!D59,0)</f>
        <v>194714</v>
      </c>
      <c r="F49" s="14">
        <f>IFERROR('Data Sheet'!E59,0)</f>
        <v>217475</v>
      </c>
      <c r="G49" s="14">
        <f>IFERROR('Data Sheet'!F59,0)</f>
        <v>239843</v>
      </c>
      <c r="H49" s="14">
        <f>IFERROR('Data Sheet'!G59,0)</f>
        <v>307714</v>
      </c>
      <c r="I49" s="14">
        <f>IFERROR('Data Sheet'!H59,0)</f>
        <v>355133</v>
      </c>
      <c r="J49" s="14">
        <f>IFERROR('Data Sheet'!I59,0)</f>
        <v>278962</v>
      </c>
      <c r="K49" s="14">
        <f>IFERROR('Data Sheet'!J59,0)</f>
        <v>319158</v>
      </c>
      <c r="L49" s="14">
        <f>IFERROR('Data Sheet'!K59,0)</f>
        <v>335134</v>
      </c>
    </row>
    <row r="50" spans="2:12" x14ac:dyDescent="0.3">
      <c r="B50" s="4" t="s">
        <v>36</v>
      </c>
      <c r="C50" s="14">
        <f>IFERROR('Data Sheet'!B60,0)</f>
        <v>91395</v>
      </c>
      <c r="D50" s="14">
        <f>IFERROR('Data Sheet'!C60,0)</f>
        <v>117736</v>
      </c>
      <c r="E50" s="14">
        <f>IFERROR('Data Sheet'!D60,0)</f>
        <v>172727</v>
      </c>
      <c r="F50" s="14">
        <f>IFERROR('Data Sheet'!E60,0)</f>
        <v>225618</v>
      </c>
      <c r="G50" s="14">
        <f>IFERROR('Data Sheet'!F60,0)</f>
        <v>277924</v>
      </c>
      <c r="H50" s="14">
        <f>IFERROR('Data Sheet'!G60,0)</f>
        <v>302804</v>
      </c>
      <c r="I50" s="14">
        <f>IFERROR('Data Sheet'!H60,0)</f>
        <v>358716</v>
      </c>
      <c r="J50" s="14">
        <f>IFERROR('Data Sheet'!I60,0)</f>
        <v>340931</v>
      </c>
      <c r="K50" s="14">
        <f>IFERROR('Data Sheet'!J60,0)</f>
        <v>399979</v>
      </c>
      <c r="L50" s="14">
        <f>IFERROR('Data Sheet'!K60,0)</f>
        <v>557219</v>
      </c>
    </row>
    <row r="51" spans="2:12" x14ac:dyDescent="0.3">
      <c r="B51" s="30" t="s">
        <v>83</v>
      </c>
      <c r="C51" s="28">
        <f>SUM(C47:C50)</f>
        <v>428843</v>
      </c>
      <c r="D51" s="28">
        <f t="shared" ref="D51:L51" si="18">SUM(D47:D50)</f>
        <v>504486</v>
      </c>
      <c r="E51" s="28">
        <f t="shared" si="18"/>
        <v>598997</v>
      </c>
      <c r="F51" s="28">
        <f t="shared" si="18"/>
        <v>706802</v>
      </c>
      <c r="G51" s="28">
        <f t="shared" si="18"/>
        <v>811273</v>
      </c>
      <c r="H51" s="28">
        <f t="shared" si="18"/>
        <v>997630</v>
      </c>
      <c r="I51" s="28">
        <f t="shared" si="18"/>
        <v>1163015</v>
      </c>
      <c r="J51" s="28">
        <f t="shared" si="18"/>
        <v>1320065</v>
      </c>
      <c r="K51" s="28">
        <f t="shared" si="18"/>
        <v>1498622</v>
      </c>
      <c r="L51" s="28">
        <f t="shared" si="18"/>
        <v>1713506</v>
      </c>
    </row>
    <row r="53" spans="2:12" x14ac:dyDescent="0.3">
      <c r="B53" s="4" t="s">
        <v>85</v>
      </c>
      <c r="C53" s="14">
        <f>IFERROR('Data Sheet'!B62,0)</f>
        <v>141417</v>
      </c>
      <c r="D53" s="14">
        <f>IFERROR('Data Sheet'!C62,0)</f>
        <v>156458</v>
      </c>
      <c r="E53" s="14">
        <f>IFERROR('Data Sheet'!D62,0)</f>
        <v>184910</v>
      </c>
      <c r="F53" s="14">
        <f>IFERROR('Data Sheet'!E62,0)</f>
        <v>198526</v>
      </c>
      <c r="G53" s="14">
        <f>IFERROR('Data Sheet'!F62,0)</f>
        <v>403885</v>
      </c>
      <c r="H53" s="14">
        <f>IFERROR('Data Sheet'!G62,0)</f>
        <v>398374</v>
      </c>
      <c r="I53" s="14">
        <f>IFERROR('Data Sheet'!H62,0)</f>
        <v>532658</v>
      </c>
      <c r="J53" s="14">
        <f>IFERROR('Data Sheet'!I62,0)</f>
        <v>541258</v>
      </c>
      <c r="K53" s="14">
        <f>IFERROR('Data Sheet'!J62,0)</f>
        <v>627798</v>
      </c>
      <c r="L53" s="14">
        <f>IFERROR('Data Sheet'!K62,0)</f>
        <v>899786</v>
      </c>
    </row>
    <row r="54" spans="2:12" x14ac:dyDescent="0.3">
      <c r="B54" s="4" t="s">
        <v>14</v>
      </c>
      <c r="C54" s="14">
        <f>IFERROR('Data Sheet'!B63,0)</f>
        <v>91494</v>
      </c>
      <c r="D54" s="14">
        <f>IFERROR('Data Sheet'!C63,0)</f>
        <v>166462</v>
      </c>
      <c r="E54" s="14">
        <f>IFERROR('Data Sheet'!D63,0)</f>
        <v>228697</v>
      </c>
      <c r="F54" s="14">
        <f>IFERROR('Data Sheet'!E63,0)</f>
        <v>324837</v>
      </c>
      <c r="G54" s="14">
        <f>IFERROR('Data Sheet'!F63,0)</f>
        <v>187022</v>
      </c>
      <c r="H54" s="14">
        <f>IFERROR('Data Sheet'!G63,0)</f>
        <v>179463</v>
      </c>
      <c r="I54" s="14">
        <f>IFERROR('Data Sheet'!H63,0)</f>
        <v>109106</v>
      </c>
      <c r="J54" s="14">
        <f>IFERROR('Data Sheet'!I63,0)</f>
        <v>125953</v>
      </c>
      <c r="K54" s="14">
        <f>IFERROR('Data Sheet'!J63,0)</f>
        <v>172506</v>
      </c>
      <c r="L54" s="14">
        <f>IFERROR('Data Sheet'!K63,0)</f>
        <v>117259</v>
      </c>
    </row>
    <row r="55" spans="2:12" x14ac:dyDescent="0.3">
      <c r="B55" s="4" t="s">
        <v>15</v>
      </c>
      <c r="C55" s="14">
        <f>IFERROR('Data Sheet'!B64,0)</f>
        <v>60602</v>
      </c>
      <c r="D55" s="14">
        <f>IFERROR('Data Sheet'!C64,0)</f>
        <v>76451</v>
      </c>
      <c r="E55" s="14">
        <f>IFERROR('Data Sheet'!D64,0)</f>
        <v>84015</v>
      </c>
      <c r="F55" s="14">
        <f>IFERROR('Data Sheet'!E64,0)</f>
        <v>82899</v>
      </c>
      <c r="G55" s="14">
        <f>IFERROR('Data Sheet'!F64,0)</f>
        <v>82862</v>
      </c>
      <c r="H55" s="14">
        <f>IFERROR('Data Sheet'!G64,0)</f>
        <v>235635</v>
      </c>
      <c r="I55" s="14">
        <f>IFERROR('Data Sheet'!H64,0)</f>
        <v>276767</v>
      </c>
      <c r="J55" s="14">
        <f>IFERROR('Data Sheet'!I64,0)</f>
        <v>364828</v>
      </c>
      <c r="K55" s="14">
        <f>IFERROR('Data Sheet'!J64,0)</f>
        <v>394264</v>
      </c>
      <c r="L55" s="14">
        <f>IFERROR('Data Sheet'!K64,0)</f>
        <v>336633</v>
      </c>
    </row>
    <row r="56" spans="2:12" x14ac:dyDescent="0.3">
      <c r="B56" s="4" t="s">
        <v>37</v>
      </c>
      <c r="C56" s="14">
        <f>IFERROR('Data Sheet'!B65-SUM('Data Sheet'!B67:B69),0)</f>
        <v>31215</v>
      </c>
      <c r="D56" s="14">
        <f>IFERROR('Data Sheet'!C65-SUM('Data Sheet'!C67:C69),0)</f>
        <v>34007</v>
      </c>
      <c r="E56" s="14">
        <f>IFERROR('Data Sheet'!D65-SUM('Data Sheet'!D67:D69),0)</f>
        <v>39396</v>
      </c>
      <c r="F56" s="14">
        <f>IFERROR('Data Sheet'!E65-SUM('Data Sheet'!E67:E69),0)</f>
        <v>40389</v>
      </c>
      <c r="G56" s="14">
        <f>IFERROR('Data Sheet'!F65-SUM('Data Sheet'!F67:F69),0)</f>
        <v>54857</v>
      </c>
      <c r="H56" s="14">
        <f>IFERROR('Data Sheet'!G65-SUM('Data Sheet'!G67:G69),0)</f>
        <v>75427</v>
      </c>
      <c r="I56" s="14">
        <f>IFERROR('Data Sheet'!H65-SUM('Data Sheet'!H67:H69),0)</f>
        <v>120005</v>
      </c>
      <c r="J56" s="14">
        <f>IFERROR('Data Sheet'!I65-SUM('Data Sheet'!I67:I69),0)</f>
        <v>169943</v>
      </c>
      <c r="K56" s="14">
        <f>IFERROR('Data Sheet'!J65-SUM('Data Sheet'!J67:J69),0)</f>
        <v>136458</v>
      </c>
      <c r="L56" s="14">
        <f>IFERROR('Data Sheet'!K65-SUM('Data Sheet'!K67:K69),0)</f>
        <v>116661</v>
      </c>
    </row>
    <row r="57" spans="2:12" x14ac:dyDescent="0.3">
      <c r="B57" s="30" t="s">
        <v>82</v>
      </c>
      <c r="C57" s="28">
        <f>SUM(C53:C56)</f>
        <v>324728</v>
      </c>
      <c r="D57" s="28">
        <f t="shared" ref="D57:L57" si="19">SUM(D53:D56)</f>
        <v>433378</v>
      </c>
      <c r="E57" s="28">
        <f t="shared" si="19"/>
        <v>537018</v>
      </c>
      <c r="F57" s="28">
        <f t="shared" si="19"/>
        <v>646651</v>
      </c>
      <c r="G57" s="28">
        <f t="shared" si="19"/>
        <v>728626</v>
      </c>
      <c r="H57" s="28">
        <f t="shared" si="19"/>
        <v>888899</v>
      </c>
      <c r="I57" s="28">
        <f t="shared" si="19"/>
        <v>1038536</v>
      </c>
      <c r="J57" s="28">
        <f t="shared" si="19"/>
        <v>1201982</v>
      </c>
      <c r="K57" s="28">
        <f t="shared" si="19"/>
        <v>1331026</v>
      </c>
      <c r="L57" s="28">
        <f t="shared" si="19"/>
        <v>1470339</v>
      </c>
    </row>
    <row r="59" spans="2:12" x14ac:dyDescent="0.3">
      <c r="B59" s="4" t="s">
        <v>42</v>
      </c>
      <c r="C59" s="14">
        <f>IFERROR('Data Sheet'!B67,0)</f>
        <v>9411</v>
      </c>
      <c r="D59" s="14">
        <f>IFERROR('Data Sheet'!C67,0)</f>
        <v>5315</v>
      </c>
      <c r="E59" s="14">
        <f>IFERROR('Data Sheet'!D67,0)</f>
        <v>4465</v>
      </c>
      <c r="F59" s="14">
        <f>IFERROR('Data Sheet'!E67,0)</f>
        <v>8177</v>
      </c>
      <c r="G59" s="14">
        <f>IFERROR('Data Sheet'!F67,0)</f>
        <v>17555</v>
      </c>
      <c r="H59" s="14">
        <f>IFERROR('Data Sheet'!G67,0)</f>
        <v>30089</v>
      </c>
      <c r="I59" s="14">
        <f>IFERROR('Data Sheet'!H67,0)</f>
        <v>19656</v>
      </c>
      <c r="J59" s="14">
        <f>IFERROR('Data Sheet'!I67,0)</f>
        <v>19014</v>
      </c>
      <c r="K59" s="14">
        <f>IFERROR('Data Sheet'!J67,0)</f>
        <v>23640</v>
      </c>
      <c r="L59" s="14">
        <f>IFERROR('Data Sheet'!K67,0)</f>
        <v>28451</v>
      </c>
    </row>
    <row r="60" spans="2:12" x14ac:dyDescent="0.3">
      <c r="B60" s="4" t="s">
        <v>29</v>
      </c>
      <c r="C60" s="14">
        <f>IFERROR('Data Sheet'!B68,0)</f>
        <v>56720</v>
      </c>
      <c r="D60" s="14">
        <f>IFERROR('Data Sheet'!C68,0)</f>
        <v>53248</v>
      </c>
      <c r="E60" s="14">
        <f>IFERROR('Data Sheet'!D68,0)</f>
        <v>46486</v>
      </c>
      <c r="F60" s="14">
        <f>IFERROR('Data Sheet'!E68,0)</f>
        <v>48951</v>
      </c>
      <c r="G60" s="14">
        <f>IFERROR('Data Sheet'!F68,0)</f>
        <v>60837</v>
      </c>
      <c r="H60" s="14">
        <f>IFERROR('Data Sheet'!G68,0)</f>
        <v>67561</v>
      </c>
      <c r="I60" s="14">
        <f>IFERROR('Data Sheet'!H68,0)</f>
        <v>73903</v>
      </c>
      <c r="J60" s="14">
        <f>IFERROR('Data Sheet'!I68,0)</f>
        <v>81672</v>
      </c>
      <c r="K60" s="14">
        <f>IFERROR('Data Sheet'!J68,0)</f>
        <v>107778</v>
      </c>
      <c r="L60" s="14">
        <f>IFERROR('Data Sheet'!K68,0)</f>
        <v>140008</v>
      </c>
    </row>
    <row r="61" spans="2:12" x14ac:dyDescent="0.3">
      <c r="B61" s="3" t="s">
        <v>51</v>
      </c>
      <c r="C61" s="14">
        <f>IFERROR('Data Sheet'!B69,0)</f>
        <v>37984</v>
      </c>
      <c r="D61" s="14">
        <f>IFERROR('Data Sheet'!C69,0)</f>
        <v>12545</v>
      </c>
      <c r="E61" s="14">
        <f>IFERROR('Data Sheet'!D69,0)</f>
        <v>11028</v>
      </c>
      <c r="F61" s="14">
        <f>IFERROR('Data Sheet'!E69,0)</f>
        <v>3023</v>
      </c>
      <c r="G61" s="14">
        <f>IFERROR('Data Sheet'!F69,0)</f>
        <v>4255</v>
      </c>
      <c r="H61" s="14">
        <f>IFERROR('Data Sheet'!G69,0)</f>
        <v>11081</v>
      </c>
      <c r="I61" s="14">
        <f>IFERROR('Data Sheet'!H69,0)</f>
        <v>30920</v>
      </c>
      <c r="J61" s="14">
        <f>IFERROR('Data Sheet'!I69,0)</f>
        <v>17397</v>
      </c>
      <c r="K61" s="14">
        <f>IFERROR('Data Sheet'!J69,0)</f>
        <v>36178</v>
      </c>
      <c r="L61" s="14">
        <f>IFERROR('Data Sheet'!K69,0)</f>
        <v>74708</v>
      </c>
    </row>
    <row r="62" spans="2:12" x14ac:dyDescent="0.3">
      <c r="B62" s="27" t="s">
        <v>84</v>
      </c>
      <c r="C62" s="28">
        <f>SUM(C59:C61)</f>
        <v>104115</v>
      </c>
      <c r="D62" s="28">
        <f t="shared" ref="D62:L62" si="20">SUM(D59:D61)</f>
        <v>71108</v>
      </c>
      <c r="E62" s="28">
        <f t="shared" si="20"/>
        <v>61979</v>
      </c>
      <c r="F62" s="28">
        <f t="shared" si="20"/>
        <v>60151</v>
      </c>
      <c r="G62" s="28">
        <f t="shared" si="20"/>
        <v>82647</v>
      </c>
      <c r="H62" s="28">
        <f t="shared" si="20"/>
        <v>108731</v>
      </c>
      <c r="I62" s="28">
        <f t="shared" si="20"/>
        <v>124479</v>
      </c>
      <c r="J62" s="28">
        <f t="shared" si="20"/>
        <v>118083</v>
      </c>
      <c r="K62" s="28">
        <f t="shared" si="20"/>
        <v>167596</v>
      </c>
      <c r="L62" s="28">
        <f t="shared" si="20"/>
        <v>243167</v>
      </c>
    </row>
    <row r="64" spans="2:12" x14ac:dyDescent="0.3">
      <c r="B64" s="27" t="s">
        <v>81</v>
      </c>
      <c r="C64" s="28">
        <f>C57+C62</f>
        <v>428843</v>
      </c>
      <c r="D64" s="28">
        <f t="shared" ref="D64:L64" si="21">D57+D62</f>
        <v>504486</v>
      </c>
      <c r="E64" s="28">
        <f t="shared" si="21"/>
        <v>598997</v>
      </c>
      <c r="F64" s="28">
        <f t="shared" si="21"/>
        <v>706802</v>
      </c>
      <c r="G64" s="28">
        <f t="shared" si="21"/>
        <v>811273</v>
      </c>
      <c r="H64" s="28">
        <f t="shared" si="21"/>
        <v>997630</v>
      </c>
      <c r="I64" s="28">
        <f t="shared" si="21"/>
        <v>1163015</v>
      </c>
      <c r="J64" s="28">
        <f t="shared" si="21"/>
        <v>1320065</v>
      </c>
      <c r="K64" s="28">
        <f t="shared" si="21"/>
        <v>1498622</v>
      </c>
      <c r="L64" s="28">
        <f t="shared" si="21"/>
        <v>1713506</v>
      </c>
    </row>
    <row r="66" spans="1:14" ht="15" thickBot="1" x14ac:dyDescent="0.35">
      <c r="B66" s="40" t="s">
        <v>86</v>
      </c>
      <c r="C66" s="41" t="b">
        <f>C64=C51</f>
        <v>1</v>
      </c>
      <c r="D66" s="41" t="b">
        <f t="shared" ref="D66:L66" si="22">D64=D51</f>
        <v>1</v>
      </c>
      <c r="E66" s="41" t="b">
        <f t="shared" si="22"/>
        <v>1</v>
      </c>
      <c r="F66" s="41" t="b">
        <f t="shared" si="22"/>
        <v>1</v>
      </c>
      <c r="G66" s="41" t="b">
        <f t="shared" si="22"/>
        <v>1</v>
      </c>
      <c r="H66" s="41" t="b">
        <f t="shared" si="22"/>
        <v>1</v>
      </c>
      <c r="I66" s="41" t="b">
        <f t="shared" si="22"/>
        <v>1</v>
      </c>
      <c r="J66" s="41" t="b">
        <f t="shared" si="22"/>
        <v>1</v>
      </c>
      <c r="K66" s="41" t="b">
        <f t="shared" si="22"/>
        <v>1</v>
      </c>
      <c r="L66" s="41" t="b">
        <f t="shared" si="22"/>
        <v>1</v>
      </c>
    </row>
    <row r="67" spans="1:14" ht="15" thickTop="1" x14ac:dyDescent="0.3"/>
    <row r="68" spans="1:14" x14ac:dyDescent="0.3">
      <c r="A68" t="s">
        <v>56</v>
      </c>
      <c r="B68" s="74" t="s">
        <v>87</v>
      </c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1:14" x14ac:dyDescent="0.3">
      <c r="B69" s="2" t="s">
        <v>110</v>
      </c>
      <c r="N69" s="2"/>
    </row>
    <row r="70" spans="1:14" x14ac:dyDescent="0.3">
      <c r="B70" t="s">
        <v>89</v>
      </c>
      <c r="C70" s="18">
        <f>IFERROR('Cash Flow Data'!C4,0)</f>
        <v>38444</v>
      </c>
      <c r="D70" s="18">
        <f>IFERROR('Cash Flow Data'!D4,0)</f>
        <v>38994</v>
      </c>
      <c r="E70" s="18">
        <f>IFERROR('Cash Flow Data'!E4,0)</f>
        <v>38887</v>
      </c>
      <c r="F70" s="18">
        <f>IFERROR('Cash Flow Data'!F4,0)</f>
        <v>44170</v>
      </c>
      <c r="G70" s="18">
        <f>IFERROR('Cash Flow Data'!G4,0)</f>
        <v>62765</v>
      </c>
      <c r="H70" s="18">
        <f>IFERROR('Cash Flow Data'!H4,0)</f>
        <v>83319</v>
      </c>
      <c r="I70" s="18">
        <f>IFERROR('Cash Flow Data'!I4,0)</f>
        <v>85347</v>
      </c>
      <c r="J70" s="18">
        <f>IFERROR('Cash Flow Data'!J4,0)</f>
        <v>80129</v>
      </c>
      <c r="K70" s="18">
        <f>IFERROR('Cash Flow Data'!K4,0)</f>
        <v>113726</v>
      </c>
      <c r="L70" s="18">
        <f>IFERROR('Cash Flow Data'!L4,0)</f>
        <v>140963</v>
      </c>
    </row>
    <row r="71" spans="1:14" x14ac:dyDescent="0.3">
      <c r="B71" t="s">
        <v>42</v>
      </c>
      <c r="C71" s="18">
        <f>IFERROR('Cash Flow Data'!C5,0)</f>
        <v>-1913</v>
      </c>
      <c r="D71" s="18">
        <f>IFERROR('Cash Flow Data'!D5,0)</f>
        <v>1097</v>
      </c>
      <c r="E71" s="18">
        <f>IFERROR('Cash Flow Data'!E5,0)</f>
        <v>-6880</v>
      </c>
      <c r="F71" s="18">
        <f>IFERROR('Cash Flow Data'!F5,0)</f>
        <v>-8511</v>
      </c>
      <c r="G71" s="18">
        <f>IFERROR('Cash Flow Data'!G5,0)</f>
        <v>-21991</v>
      </c>
      <c r="H71" s="18">
        <f>IFERROR('Cash Flow Data'!H5,0)</f>
        <v>-40136</v>
      </c>
      <c r="I71" s="18">
        <f>IFERROR('Cash Flow Data'!I5,0)</f>
        <v>-13792</v>
      </c>
      <c r="J71" s="18">
        <f>IFERROR('Cash Flow Data'!J5,0)</f>
        <v>959</v>
      </c>
      <c r="K71" s="18">
        <f>IFERROR('Cash Flow Data'!K5,0)</f>
        <v>-14180</v>
      </c>
      <c r="L71" s="18">
        <f>IFERROR('Cash Flow Data'!L5,0)</f>
        <v>13194</v>
      </c>
    </row>
    <row r="72" spans="1:14" x14ac:dyDescent="0.3">
      <c r="B72" t="s">
        <v>29</v>
      </c>
      <c r="C72" s="18">
        <f>IFERROR('Cash Flow Data'!C6,0)</f>
        <v>-1396</v>
      </c>
      <c r="D72" s="18">
        <f>IFERROR('Cash Flow Data'!D6,0)</f>
        <v>3472</v>
      </c>
      <c r="E72" s="18">
        <f>IFERROR('Cash Flow Data'!E6,0)</f>
        <v>6758</v>
      </c>
      <c r="F72" s="18">
        <f>IFERROR('Cash Flow Data'!F6,0)</f>
        <v>-6899</v>
      </c>
      <c r="G72" s="18">
        <f>IFERROR('Cash Flow Data'!G6,0)</f>
        <v>-10474</v>
      </c>
      <c r="H72" s="18">
        <f>IFERROR('Cash Flow Data'!H6,0)</f>
        <v>-6724</v>
      </c>
      <c r="I72" s="18">
        <f>IFERROR('Cash Flow Data'!I6,0)</f>
        <v>-6342</v>
      </c>
      <c r="J72" s="18">
        <f>IFERROR('Cash Flow Data'!J6,0)</f>
        <v>-7769</v>
      </c>
      <c r="K72" s="18">
        <f>IFERROR('Cash Flow Data'!K6,0)</f>
        <v>-24983</v>
      </c>
      <c r="L72" s="18">
        <f>IFERROR('Cash Flow Data'!L6,0)</f>
        <v>-32228</v>
      </c>
    </row>
    <row r="73" spans="1:14" x14ac:dyDescent="0.3">
      <c r="B73" t="s">
        <v>90</v>
      </c>
      <c r="C73" s="18">
        <f>IFERROR('Cash Flow Data'!C7,0)</f>
        <v>14339</v>
      </c>
      <c r="D73" s="18">
        <f>IFERROR('Cash Flow Data'!D7,0)</f>
        <v>-2754</v>
      </c>
      <c r="E73" s="18">
        <f>IFERROR('Cash Flow Data'!E7,0)</f>
        <v>7951</v>
      </c>
      <c r="F73" s="18">
        <f>IFERROR('Cash Flow Data'!F7,0)</f>
        <v>30873</v>
      </c>
      <c r="G73" s="18">
        <f>IFERROR('Cash Flow Data'!G7,0)</f>
        <v>51003</v>
      </c>
      <c r="H73" s="18">
        <f>IFERROR('Cash Flow Data'!H7,0)</f>
        <v>18078</v>
      </c>
      <c r="I73" s="18">
        <f>IFERROR('Cash Flow Data'!I7,0)</f>
        <v>38050</v>
      </c>
      <c r="J73" s="18">
        <f>IFERROR('Cash Flow Data'!J7,0)</f>
        <v>-43148</v>
      </c>
      <c r="K73" s="18">
        <f>IFERROR('Cash Flow Data'!K7,0)</f>
        <v>39888</v>
      </c>
      <c r="L73" s="18">
        <f>IFERROR('Cash Flow Data'!L7,0)</f>
        <v>-600</v>
      </c>
    </row>
    <row r="74" spans="1:14" x14ac:dyDescent="0.3">
      <c r="B74" t="s">
        <v>91</v>
      </c>
      <c r="C74" s="18">
        <f>IFERROR('Cash Flow Data'!C8,0)</f>
        <v>11030</v>
      </c>
      <c r="D74" s="18">
        <f>IFERROR('Cash Flow Data'!D8,0)</f>
        <v>1815</v>
      </c>
      <c r="E74" s="18">
        <f>IFERROR('Cash Flow Data'!E8,0)</f>
        <v>7829</v>
      </c>
      <c r="F74" s="18">
        <f>IFERROR('Cash Flow Data'!F8,0)</f>
        <v>15463</v>
      </c>
      <c r="G74" s="18">
        <f>IFERROR('Cash Flow Data'!G8,0)</f>
        <v>18538</v>
      </c>
      <c r="H74" s="18">
        <f>IFERROR('Cash Flow Data'!H8,0)</f>
        <v>-28782</v>
      </c>
      <c r="I74" s="18">
        <f>IFERROR('Cash Flow Data'!I8,0)</f>
        <v>17916</v>
      </c>
      <c r="J74" s="18">
        <f>IFERROR('Cash Flow Data'!J8,0)</f>
        <v>-49958</v>
      </c>
      <c r="K74" s="18">
        <f>IFERROR('Cash Flow Data'!K8,0)</f>
        <v>725</v>
      </c>
      <c r="L74" s="18">
        <f>IFERROR('Cash Flow Data'!L8,0)</f>
        <v>-19634</v>
      </c>
    </row>
    <row r="75" spans="1:14" x14ac:dyDescent="0.3">
      <c r="B75" t="s">
        <v>92</v>
      </c>
      <c r="C75" s="18">
        <f>IFERROR('Cash Flow Data'!C9,0)</f>
        <v>-6213</v>
      </c>
      <c r="D75" s="18">
        <f>IFERROR('Cash Flow Data'!D9,0)</f>
        <v>-6435</v>
      </c>
      <c r="E75" s="18">
        <f>IFERROR('Cash Flow Data'!E9,0)</f>
        <v>-8582</v>
      </c>
      <c r="F75" s="18">
        <f>IFERROR('Cash Flow Data'!F9,0)</f>
        <v>-10083</v>
      </c>
      <c r="G75" s="18">
        <f>IFERROR('Cash Flow Data'!G9,0)</f>
        <v>-9844</v>
      </c>
      <c r="H75" s="18">
        <f>IFERROR('Cash Flow Data'!H9,0)</f>
        <v>-12191</v>
      </c>
      <c r="I75" s="18">
        <f>IFERROR('Cash Flow Data'!I9,0)</f>
        <v>-8386</v>
      </c>
      <c r="J75" s="18">
        <f>IFERROR('Cash Flow Data'!J9,0)</f>
        <v>-3213</v>
      </c>
      <c r="K75" s="18">
        <f>IFERROR('Cash Flow Data'!K9,0)</f>
        <v>-3797</v>
      </c>
      <c r="L75" s="18">
        <f>IFERROR('Cash Flow Data'!L9,0)</f>
        <v>-6297</v>
      </c>
    </row>
    <row r="76" spans="1:14" x14ac:dyDescent="0.3">
      <c r="B76" t="s">
        <v>152</v>
      </c>
      <c r="C76" s="18">
        <f>IFERROR('Cash Flow Data'!C10,0)</f>
        <v>0</v>
      </c>
      <c r="D76" s="18">
        <f>IFERROR('Cash Flow Data'!D10,0)</f>
        <v>0</v>
      </c>
      <c r="E76" s="18">
        <f>IFERROR('Cash Flow Data'!E10,0)</f>
        <v>0</v>
      </c>
      <c r="F76" s="18">
        <f>IFERROR('Cash Flow Data'!F10,0)</f>
        <v>0</v>
      </c>
      <c r="G76" s="18">
        <f>IFERROR('Cash Flow Data'!G10,0)</f>
        <v>0</v>
      </c>
      <c r="H76" s="18">
        <f>IFERROR('Cash Flow Data'!H10,0)</f>
        <v>0</v>
      </c>
      <c r="I76" s="18">
        <f>IFERROR('Cash Flow Data'!I10,0)</f>
        <v>0</v>
      </c>
      <c r="J76" s="18">
        <f>IFERROR('Cash Flow Data'!J10,0)</f>
        <v>0</v>
      </c>
      <c r="K76" s="18">
        <f>IFERROR('Cash Flow Data'!K10,0)</f>
        <v>0</v>
      </c>
      <c r="L76" s="18">
        <f>IFERROR('Cash Flow Data'!L10,0)</f>
        <v>0</v>
      </c>
    </row>
    <row r="77" spans="1:14" x14ac:dyDescent="0.3">
      <c r="B77" s="22" t="s">
        <v>109</v>
      </c>
      <c r="C77" s="26">
        <f t="shared" ref="C77:L77" si="23">SUM(C70:C76)</f>
        <v>54291</v>
      </c>
      <c r="D77" s="26">
        <f t="shared" si="23"/>
        <v>36189</v>
      </c>
      <c r="E77" s="26">
        <f t="shared" si="23"/>
        <v>45963</v>
      </c>
      <c r="F77" s="26">
        <f t="shared" si="23"/>
        <v>65013</v>
      </c>
      <c r="G77" s="26">
        <f t="shared" si="23"/>
        <v>89997</v>
      </c>
      <c r="H77" s="26">
        <f t="shared" si="23"/>
        <v>13564</v>
      </c>
      <c r="I77" s="26">
        <f t="shared" si="23"/>
        <v>112793</v>
      </c>
      <c r="J77" s="26">
        <f t="shared" si="23"/>
        <v>-23000</v>
      </c>
      <c r="K77" s="26">
        <f t="shared" si="23"/>
        <v>111379</v>
      </c>
      <c r="L77" s="26">
        <f t="shared" si="23"/>
        <v>95398</v>
      </c>
    </row>
    <row r="79" spans="1:14" x14ac:dyDescent="0.3">
      <c r="B79" s="2" t="s">
        <v>112</v>
      </c>
      <c r="N79" s="2"/>
    </row>
    <row r="80" spans="1:14" x14ac:dyDescent="0.3">
      <c r="B80" t="s">
        <v>94</v>
      </c>
      <c r="C80" s="18">
        <f>IFERROR('Cash Flow Data'!C13,0)</f>
        <v>-60087</v>
      </c>
      <c r="D80" s="18">
        <f>IFERROR('Cash Flow Data'!D13,0)</f>
        <v>-63364</v>
      </c>
      <c r="E80" s="18">
        <f>IFERROR('Cash Flow Data'!E13,0)</f>
        <v>-46898</v>
      </c>
      <c r="F80" s="18">
        <f>IFERROR('Cash Flow Data'!F13,0)</f>
        <v>-78109</v>
      </c>
      <c r="G80" s="18">
        <f>IFERROR('Cash Flow Data'!G13,0)</f>
        <v>-73953</v>
      </c>
      <c r="H80" s="18">
        <f>IFERROR('Cash Flow Data'!H13,0)</f>
        <v>-93626</v>
      </c>
      <c r="I80" s="18">
        <f>IFERROR('Cash Flow Data'!I13,0)</f>
        <v>-76517</v>
      </c>
      <c r="J80" s="18">
        <f>IFERROR('Cash Flow Data'!J13,0)</f>
        <v>-105837</v>
      </c>
      <c r="K80" s="18">
        <f>IFERROR('Cash Flow Data'!K13,0)</f>
        <v>-100145</v>
      </c>
      <c r="L80" s="18">
        <f>IFERROR('Cash Flow Data'!L13,0)</f>
        <v>-140988</v>
      </c>
    </row>
    <row r="81" spans="2:14" x14ac:dyDescent="0.3">
      <c r="B81" t="s">
        <v>95</v>
      </c>
      <c r="C81" s="18">
        <f>IFERROR('Cash Flow Data'!C14,0)</f>
        <v>148</v>
      </c>
      <c r="D81" s="18">
        <f>IFERROR('Cash Flow Data'!D14,0)</f>
        <v>402</v>
      </c>
      <c r="E81" s="18">
        <f>IFERROR('Cash Flow Data'!E14,0)</f>
        <v>344</v>
      </c>
      <c r="F81" s="18">
        <f>IFERROR('Cash Flow Data'!F14,0)</f>
        <v>1482</v>
      </c>
      <c r="G81" s="18">
        <f>IFERROR('Cash Flow Data'!G14,0)</f>
        <v>999</v>
      </c>
      <c r="H81" s="18">
        <f>IFERROR('Cash Flow Data'!H14,0)</f>
        <v>849</v>
      </c>
      <c r="I81" s="18">
        <f>IFERROR('Cash Flow Data'!I14,0)</f>
        <v>964</v>
      </c>
      <c r="J81" s="18">
        <f>IFERROR('Cash Flow Data'!J14,0)</f>
        <v>2319</v>
      </c>
      <c r="K81" s="18">
        <f>IFERROR('Cash Flow Data'!K14,0)</f>
        <v>3137</v>
      </c>
      <c r="L81" s="18">
        <f>IFERROR('Cash Flow Data'!L14,0)</f>
        <v>9186</v>
      </c>
    </row>
    <row r="82" spans="2:14" x14ac:dyDescent="0.3">
      <c r="B82" t="s">
        <v>96</v>
      </c>
      <c r="C82" s="18">
        <f>IFERROR('Cash Flow Data'!C15,0)</f>
        <v>-765659</v>
      </c>
      <c r="D82" s="18">
        <f>IFERROR('Cash Flow Data'!D15,0)</f>
        <v>-678241</v>
      </c>
      <c r="E82" s="18">
        <f>IFERROR('Cash Flow Data'!E15,0)</f>
        <v>-715334</v>
      </c>
      <c r="F82" s="18">
        <f>IFERROR('Cash Flow Data'!F15,0)</f>
        <v>-654760</v>
      </c>
      <c r="G82" s="18">
        <f>IFERROR('Cash Flow Data'!G15,0)</f>
        <v>-533984</v>
      </c>
      <c r="H82" s="18">
        <f>IFERROR('Cash Flow Data'!H15,0)</f>
        <v>-1105479</v>
      </c>
      <c r="I82" s="18">
        <f>IFERROR('Cash Flow Data'!I15,0)</f>
        <v>-1156843</v>
      </c>
      <c r="J82" s="18">
        <f>IFERROR('Cash Flow Data'!J15,0)</f>
        <v>-689866</v>
      </c>
      <c r="K82" s="18">
        <f>IFERROR('Cash Flow Data'!K15,0)</f>
        <v>-667878</v>
      </c>
      <c r="L82" s="18">
        <f>IFERROR('Cash Flow Data'!L15,0)</f>
        <v>-471822</v>
      </c>
    </row>
    <row r="83" spans="2:14" x14ac:dyDescent="0.3">
      <c r="B83" t="s">
        <v>97</v>
      </c>
      <c r="C83" s="18">
        <f>IFERROR('Cash Flow Data'!C16,0)</f>
        <v>749849</v>
      </c>
      <c r="D83" s="18">
        <f>IFERROR('Cash Flow Data'!D16,0)</f>
        <v>666383</v>
      </c>
      <c r="E83" s="18">
        <f>IFERROR('Cash Flow Data'!E16,0)</f>
        <v>721182</v>
      </c>
      <c r="F83" s="18">
        <f>IFERROR('Cash Flow Data'!F16,0)</f>
        <v>663990</v>
      </c>
      <c r="G83" s="18">
        <f>IFERROR('Cash Flow Data'!G16,0)</f>
        <v>537504</v>
      </c>
      <c r="H83" s="18">
        <f>IFERROR('Cash Flow Data'!H16,0)</f>
        <v>0</v>
      </c>
      <c r="I83" s="18">
        <f>IFERROR('Cash Flow Data'!I16,0)</f>
        <v>0</v>
      </c>
      <c r="J83" s="18">
        <f>IFERROR('Cash Flow Data'!J16,0)</f>
        <v>642551</v>
      </c>
      <c r="K83" s="18">
        <f>IFERROR('Cash Flow Data'!K16,0)</f>
        <v>668137</v>
      </c>
      <c r="L83" s="18">
        <f>IFERROR('Cash Flow Data'!L16,0)</f>
        <v>501266</v>
      </c>
    </row>
    <row r="84" spans="2:14" x14ac:dyDescent="0.3">
      <c r="B84" t="s">
        <v>98</v>
      </c>
      <c r="C84" s="18">
        <f>IFERROR('Cash Flow Data'!C17,0)</f>
        <v>6413</v>
      </c>
      <c r="D84" s="18">
        <f>IFERROR('Cash Flow Data'!D17,0)</f>
        <v>6055</v>
      </c>
      <c r="E84" s="18">
        <f>IFERROR('Cash Flow Data'!E17,0)</f>
        <v>2942</v>
      </c>
      <c r="F84" s="18">
        <f>IFERROR('Cash Flow Data'!F17,0)</f>
        <v>1110</v>
      </c>
      <c r="G84" s="18">
        <f>IFERROR('Cash Flow Data'!G17,0)</f>
        <v>1310</v>
      </c>
      <c r="H84" s="18">
        <f>IFERROR('Cash Flow Data'!H17,0)</f>
        <v>972</v>
      </c>
      <c r="I84" s="18">
        <f>IFERROR('Cash Flow Data'!I17,0)</f>
        <v>1441</v>
      </c>
      <c r="J84" s="18">
        <f>IFERROR('Cash Flow Data'!J17,0)</f>
        <v>8400</v>
      </c>
      <c r="K84" s="18">
        <f>IFERROR('Cash Flow Data'!K17,0)</f>
        <v>5933</v>
      </c>
      <c r="L84" s="18">
        <f>IFERROR('Cash Flow Data'!L17,0)</f>
        <v>11103</v>
      </c>
    </row>
    <row r="85" spans="2:14" x14ac:dyDescent="0.3">
      <c r="B85" t="s">
        <v>99</v>
      </c>
      <c r="C85" s="18">
        <f>IFERROR('Cash Flow Data'!C18,0)</f>
        <v>316</v>
      </c>
      <c r="D85" s="18">
        <f>IFERROR('Cash Flow Data'!D18,0)</f>
        <v>548</v>
      </c>
      <c r="E85" s="18">
        <f>IFERROR('Cash Flow Data'!E18,0)</f>
        <v>732</v>
      </c>
      <c r="F85" s="18">
        <f>IFERROR('Cash Flow Data'!F18,0)</f>
        <v>345</v>
      </c>
      <c r="G85" s="18">
        <f>IFERROR('Cash Flow Data'!G18,0)</f>
        <v>1021</v>
      </c>
      <c r="H85" s="18">
        <f>IFERROR('Cash Flow Data'!H18,0)</f>
        <v>501</v>
      </c>
      <c r="I85" s="18">
        <f>IFERROR('Cash Flow Data'!I18,0)</f>
        <v>78</v>
      </c>
      <c r="J85" s="18">
        <f>IFERROR('Cash Flow Data'!J18,0)</f>
        <v>26</v>
      </c>
      <c r="K85" s="18">
        <f>IFERROR('Cash Flow Data'!K18,0)</f>
        <v>19</v>
      </c>
      <c r="L85" s="18">
        <f>IFERROR('Cash Flow Data'!L18,0)</f>
        <v>20</v>
      </c>
    </row>
    <row r="86" spans="2:14" x14ac:dyDescent="0.3">
      <c r="B86" t="s">
        <v>100</v>
      </c>
      <c r="C86" s="18">
        <f>IFERROR('Cash Flow Data'!C19,0)</f>
        <v>-4050</v>
      </c>
      <c r="D86" s="18">
        <f>IFERROR('Cash Flow Data'!D19,0)</f>
        <v>3511</v>
      </c>
      <c r="E86" s="18">
        <f>IFERROR('Cash Flow Data'!E19,0)</f>
        <v>846</v>
      </c>
      <c r="F86" s="18">
        <f>IFERROR('Cash Flow Data'!F19,0)</f>
        <v>-259</v>
      </c>
      <c r="G86" s="18">
        <f>IFERROR('Cash Flow Data'!G19,0)</f>
        <v>-1089</v>
      </c>
      <c r="H86" s="18">
        <f>IFERROR('Cash Flow Data'!H19,0)</f>
        <v>1102276</v>
      </c>
      <c r="I86" s="18">
        <f>IFERROR('Cash Flow Data'!I19,0)</f>
        <v>1158380</v>
      </c>
      <c r="J86" s="18">
        <f>IFERROR('Cash Flow Data'!J19,0)</f>
        <v>22</v>
      </c>
      <c r="K86" s="18">
        <f>IFERROR('Cash Flow Data'!K19,0)</f>
        <v>-18365</v>
      </c>
      <c r="L86" s="18">
        <f>IFERROR('Cash Flow Data'!L19,0)</f>
        <v>0</v>
      </c>
    </row>
    <row r="87" spans="2:14" x14ac:dyDescent="0.3">
      <c r="B87" s="22" t="s">
        <v>111</v>
      </c>
      <c r="C87" s="26">
        <f t="shared" ref="C87:L87" si="24">SUM(C80:C86)</f>
        <v>-73070</v>
      </c>
      <c r="D87" s="26">
        <f t="shared" si="24"/>
        <v>-64706</v>
      </c>
      <c r="E87" s="26">
        <f t="shared" si="24"/>
        <v>-36186</v>
      </c>
      <c r="F87" s="26">
        <f t="shared" si="24"/>
        <v>-66201</v>
      </c>
      <c r="G87" s="26">
        <f t="shared" si="24"/>
        <v>-68192</v>
      </c>
      <c r="H87" s="26">
        <f t="shared" si="24"/>
        <v>-94507</v>
      </c>
      <c r="I87" s="26">
        <f t="shared" si="24"/>
        <v>-72497</v>
      </c>
      <c r="J87" s="26">
        <f t="shared" si="24"/>
        <v>-142385</v>
      </c>
      <c r="K87" s="26">
        <f t="shared" si="24"/>
        <v>-109162</v>
      </c>
      <c r="L87" s="26">
        <f t="shared" si="24"/>
        <v>-91235</v>
      </c>
    </row>
    <row r="89" spans="2:14" x14ac:dyDescent="0.3">
      <c r="B89" s="2" t="s">
        <v>113</v>
      </c>
    </row>
    <row r="90" spans="2:14" x14ac:dyDescent="0.3">
      <c r="B90" t="s">
        <v>102</v>
      </c>
      <c r="C90" s="18">
        <f>IFERROR('Cash Flow Data'!C22,0)</f>
        <v>188</v>
      </c>
      <c r="D90" s="18">
        <f>IFERROR('Cash Flow Data'!D22,0)</f>
        <v>343</v>
      </c>
      <c r="E90" s="18">
        <f>IFERROR('Cash Flow Data'!E22,0)</f>
        <v>288</v>
      </c>
      <c r="F90" s="18">
        <f>IFERROR('Cash Flow Data'!F22,0)</f>
        <v>811</v>
      </c>
      <c r="G90" s="18">
        <f>IFERROR('Cash Flow Data'!G22,0)</f>
        <v>406</v>
      </c>
      <c r="H90" s="18">
        <f>IFERROR('Cash Flow Data'!H22,0)</f>
        <v>230</v>
      </c>
      <c r="I90" s="18">
        <f>IFERROR('Cash Flow Data'!I22,0)</f>
        <v>129</v>
      </c>
      <c r="J90" s="18">
        <f>IFERROR('Cash Flow Data'!J22,0)</f>
        <v>5</v>
      </c>
      <c r="K90" s="18">
        <f>IFERROR('Cash Flow Data'!K22,0)</f>
        <v>5</v>
      </c>
      <c r="L90" s="18">
        <f>IFERROR('Cash Flow Data'!L22,0)</f>
        <v>479</v>
      </c>
      <c r="N90" s="2"/>
    </row>
    <row r="91" spans="2:14" x14ac:dyDescent="0.3">
      <c r="B91" t="s">
        <v>103</v>
      </c>
      <c r="C91" s="18">
        <f>IFERROR('Cash Flow Data'!C23,0)</f>
        <v>42152</v>
      </c>
      <c r="D91" s="18">
        <f>IFERROR('Cash Flow Data'!D23,0)</f>
        <v>29413</v>
      </c>
      <c r="E91" s="18">
        <f>IFERROR('Cash Flow Data'!E23,0)</f>
        <v>34673</v>
      </c>
      <c r="F91" s="18">
        <f>IFERROR('Cash Flow Data'!F23,0)</f>
        <v>31728</v>
      </c>
      <c r="G91" s="18">
        <f>IFERROR('Cash Flow Data'!G23,0)</f>
        <v>36970</v>
      </c>
      <c r="H91" s="18">
        <f>IFERROR('Cash Flow Data'!H23,0)</f>
        <v>106701</v>
      </c>
      <c r="I91" s="18">
        <f>IFERROR('Cash Flow Data'!I23,0)</f>
        <v>53760</v>
      </c>
      <c r="J91" s="18">
        <f>IFERROR('Cash Flow Data'!J23,0)</f>
        <v>46421</v>
      </c>
      <c r="K91" s="18">
        <f>IFERROR('Cash Flow Data'!K23,0)</f>
        <v>99105</v>
      </c>
      <c r="L91" s="18">
        <f>IFERROR('Cash Flow Data'!L23,0)</f>
        <v>67134</v>
      </c>
    </row>
    <row r="92" spans="2:14" x14ac:dyDescent="0.3">
      <c r="B92" t="s">
        <v>104</v>
      </c>
      <c r="C92" s="18">
        <f>IFERROR('Cash Flow Data'!C24,0)</f>
        <v>-19835</v>
      </c>
      <c r="D92" s="18">
        <f>IFERROR('Cash Flow Data'!D24,0)</f>
        <v>-11909</v>
      </c>
      <c r="E92" s="18">
        <f>IFERROR('Cash Flow Data'!E24,0)</f>
        <v>-21693</v>
      </c>
      <c r="F92" s="18">
        <f>IFERROR('Cash Flow Data'!F24,0)</f>
        <v>-18542</v>
      </c>
      <c r="G92" s="18">
        <f>IFERROR('Cash Flow Data'!G24,0)</f>
        <v>-19813</v>
      </c>
      <c r="H92" s="18">
        <f>IFERROR('Cash Flow Data'!H24,0)</f>
        <v>-20245</v>
      </c>
      <c r="I92" s="18">
        <f>IFERROR('Cash Flow Data'!I24,0)</f>
        <v>-18179</v>
      </c>
      <c r="J92" s="18">
        <f>IFERROR('Cash Flow Data'!J24,0)</f>
        <v>-116921</v>
      </c>
      <c r="K92" s="18">
        <f>IFERROR('Cash Flow Data'!K24,0)</f>
        <v>-49493</v>
      </c>
      <c r="L92" s="18">
        <f>IFERROR('Cash Flow Data'!L24,0)</f>
        <v>-29059</v>
      </c>
    </row>
    <row r="93" spans="2:14" x14ac:dyDescent="0.3">
      <c r="B93" t="s">
        <v>105</v>
      </c>
      <c r="C93" s="18">
        <f>IFERROR('Cash Flow Data'!C25,0)</f>
        <v>-5619</v>
      </c>
      <c r="D93" s="18">
        <f>IFERROR('Cash Flow Data'!D25,0)</f>
        <v>-6149</v>
      </c>
      <c r="E93" s="18">
        <f>IFERROR('Cash Flow Data'!E25,0)</f>
        <v>-9224</v>
      </c>
      <c r="F93" s="18">
        <f>IFERROR('Cash Flow Data'!F25,0)</f>
        <v>-12920</v>
      </c>
      <c r="G93" s="18">
        <f>IFERROR('Cash Flow Data'!G25,0)</f>
        <v>-17669</v>
      </c>
      <c r="H93" s="18">
        <f>IFERROR('Cash Flow Data'!H25,0)</f>
        <v>-23338</v>
      </c>
      <c r="I93" s="18">
        <f>IFERROR('Cash Flow Data'!I25,0)</f>
        <v>-28508</v>
      </c>
      <c r="J93" s="18">
        <f>IFERROR('Cash Flow Data'!J25,0)</f>
        <v>-18340</v>
      </c>
      <c r="K93" s="18">
        <f>IFERROR('Cash Flow Data'!K25,0)</f>
        <v>-26349</v>
      </c>
      <c r="L93" s="18">
        <f>IFERROR('Cash Flow Data'!L25,0)</f>
        <v>-21650</v>
      </c>
    </row>
    <row r="94" spans="2:14" x14ac:dyDescent="0.3">
      <c r="B94" t="s">
        <v>106</v>
      </c>
      <c r="C94" s="18">
        <f>IFERROR('Cash Flow Data'!C26,0)</f>
        <v>-3123</v>
      </c>
      <c r="D94" s="18">
        <f>IFERROR('Cash Flow Data'!D26,0)</f>
        <v>-3268</v>
      </c>
      <c r="E94" s="18">
        <f>IFERROR('Cash Flow Data'!E26,0)</f>
        <v>-7259</v>
      </c>
      <c r="F94" s="18">
        <f>IFERROR('Cash Flow Data'!F26,0)</f>
        <v>-53</v>
      </c>
      <c r="G94" s="18">
        <f>IFERROR('Cash Flow Data'!G26,0)</f>
        <v>-3916</v>
      </c>
      <c r="H94" s="18">
        <f>IFERROR('Cash Flow Data'!H26,0)</f>
        <v>-4282</v>
      </c>
      <c r="I94" s="18">
        <f>IFERROR('Cash Flow Data'!I26,0)</f>
        <v>-4592</v>
      </c>
      <c r="J94" s="18">
        <f>IFERROR('Cash Flow Data'!J26,0)</f>
        <v>-3921</v>
      </c>
      <c r="K94" s="18">
        <f>IFERROR('Cash Flow Data'!K26,0)</f>
        <v>-4297</v>
      </c>
      <c r="L94" s="18">
        <f>IFERROR('Cash Flow Data'!L26,0)</f>
        <v>-5083</v>
      </c>
    </row>
    <row r="95" spans="2:14" x14ac:dyDescent="0.3">
      <c r="B95" t="s">
        <v>107</v>
      </c>
      <c r="C95" s="18">
        <f>IFERROR('Cash Flow Data'!C27,0)</f>
        <v>0</v>
      </c>
      <c r="D95" s="18">
        <f>IFERROR('Cash Flow Data'!D27,0)</f>
        <v>0</v>
      </c>
      <c r="E95" s="18">
        <f>IFERROR('Cash Flow Data'!E27,0)</f>
        <v>0</v>
      </c>
      <c r="F95" s="18">
        <f>IFERROR('Cash Flow Data'!F27,0)</f>
        <v>0</v>
      </c>
      <c r="G95" s="18">
        <f>IFERROR('Cash Flow Data'!G27,0)</f>
        <v>0</v>
      </c>
      <c r="H95" s="18">
        <f>IFERROR('Cash Flow Data'!H27,0)</f>
        <v>0</v>
      </c>
      <c r="I95" s="18">
        <f>IFERROR('Cash Flow Data'!I27,0)</f>
        <v>-1062</v>
      </c>
      <c r="J95" s="18">
        <f>IFERROR('Cash Flow Data'!J27,0)</f>
        <v>-1022</v>
      </c>
      <c r="K95" s="18">
        <f>IFERROR('Cash Flow Data'!K27,0)</f>
        <v>-2132</v>
      </c>
      <c r="L95" s="18">
        <f>IFERROR('Cash Flow Data'!L27,0)</f>
        <v>-2812</v>
      </c>
    </row>
    <row r="96" spans="2:14" x14ac:dyDescent="0.3">
      <c r="B96" t="s">
        <v>153</v>
      </c>
      <c r="C96" s="18">
        <f>IFERROR('Cash Flow Data'!C28,0)</f>
        <v>17</v>
      </c>
      <c r="D96" s="18">
        <f>IFERROR('Cash Flow Data'!D28,0)</f>
        <v>17</v>
      </c>
      <c r="E96" s="18">
        <f>IFERROR('Cash Flow Data'!E28,0)</f>
        <v>8</v>
      </c>
      <c r="F96" s="18">
        <f>IFERROR('Cash Flow Data'!F28,0)</f>
        <v>4</v>
      </c>
      <c r="G96" s="18">
        <f>IFERROR('Cash Flow Data'!G28,0)</f>
        <v>15</v>
      </c>
      <c r="H96" s="18">
        <f>IFERROR('Cash Flow Data'!H28,0)</f>
        <v>2</v>
      </c>
      <c r="I96" s="18">
        <f>IFERROR('Cash Flow Data'!I28,0)</f>
        <v>1</v>
      </c>
      <c r="J96" s="18">
        <f>IFERROR('Cash Flow Data'!J28,0)</f>
        <v>0</v>
      </c>
      <c r="K96" s="18">
        <f>IFERROR('Cash Flow Data'!K28,0)</f>
        <v>0</v>
      </c>
      <c r="L96" s="18">
        <f>IFERROR('Cash Flow Data'!L28,0)</f>
        <v>0</v>
      </c>
    </row>
    <row r="97" spans="1:12" x14ac:dyDescent="0.3">
      <c r="B97" t="s">
        <v>108</v>
      </c>
      <c r="C97" s="18">
        <f>IFERROR('Cash Flow Data'!C29,0)</f>
        <v>-67</v>
      </c>
      <c r="D97" s="18">
        <f>IFERROR('Cash Flow Data'!D29,0)</f>
        <v>-3</v>
      </c>
      <c r="E97" s="18">
        <f>IFERROR('Cash Flow Data'!E29,0)</f>
        <v>-3</v>
      </c>
      <c r="F97" s="18">
        <f>IFERROR('Cash Flow Data'!F29,0)</f>
        <v>7589</v>
      </c>
      <c r="G97" s="18">
        <f>IFERROR('Cash Flow Data'!G29,0)</f>
        <v>2006</v>
      </c>
      <c r="H97" s="18">
        <f>IFERROR('Cash Flow Data'!H29,0)</f>
        <v>-3162</v>
      </c>
      <c r="I97" s="18">
        <f>IFERROR('Cash Flow Data'!I29,0)</f>
        <v>-4090</v>
      </c>
      <c r="J97" s="18">
        <f>IFERROR('Cash Flow Data'!J29,0)</f>
        <v>195682</v>
      </c>
      <c r="K97" s="18">
        <f>IFERROR('Cash Flow Data'!K29,0)</f>
        <v>450</v>
      </c>
      <c r="L97" s="18">
        <f>IFERROR('Cash Flow Data'!L29,0)</f>
        <v>1446</v>
      </c>
    </row>
    <row r="98" spans="1:12" x14ac:dyDescent="0.3">
      <c r="B98" s="22" t="s">
        <v>114</v>
      </c>
      <c r="C98" s="26">
        <f>SUM(C90:C97)</f>
        <v>13713</v>
      </c>
      <c r="D98" s="26">
        <f t="shared" ref="D98:L98" si="25">SUM(D90:D97)</f>
        <v>8444</v>
      </c>
      <c r="E98" s="26">
        <f t="shared" si="25"/>
        <v>-3210</v>
      </c>
      <c r="F98" s="26">
        <f t="shared" si="25"/>
        <v>8617</v>
      </c>
      <c r="G98" s="26">
        <f t="shared" si="25"/>
        <v>-2001</v>
      </c>
      <c r="H98" s="26">
        <f t="shared" si="25"/>
        <v>55906</v>
      </c>
      <c r="I98" s="26">
        <f t="shared" si="25"/>
        <v>-2541</v>
      </c>
      <c r="J98" s="26">
        <f t="shared" si="25"/>
        <v>101904</v>
      </c>
      <c r="K98" s="26">
        <f t="shared" si="25"/>
        <v>17289</v>
      </c>
      <c r="L98" s="26">
        <f t="shared" si="25"/>
        <v>10455</v>
      </c>
    </row>
    <row r="100" spans="1:12" ht="15" thickBot="1" x14ac:dyDescent="0.35">
      <c r="B100" s="42" t="s">
        <v>20</v>
      </c>
      <c r="C100" s="43">
        <f t="shared" ref="C100:L100" si="26">C98+C87+C77</f>
        <v>-5066</v>
      </c>
      <c r="D100" s="43">
        <f t="shared" si="26"/>
        <v>-20073</v>
      </c>
      <c r="E100" s="43">
        <f t="shared" si="26"/>
        <v>6567</v>
      </c>
      <c r="F100" s="43">
        <f t="shared" si="26"/>
        <v>7429</v>
      </c>
      <c r="G100" s="43">
        <f t="shared" si="26"/>
        <v>19804</v>
      </c>
      <c r="H100" s="43">
        <f t="shared" si="26"/>
        <v>-25037</v>
      </c>
      <c r="I100" s="43">
        <f t="shared" si="26"/>
        <v>37755</v>
      </c>
      <c r="J100" s="43">
        <f t="shared" si="26"/>
        <v>-63481</v>
      </c>
      <c r="K100" s="43">
        <f t="shared" si="26"/>
        <v>19506</v>
      </c>
      <c r="L100" s="44">
        <f t="shared" si="26"/>
        <v>14618</v>
      </c>
    </row>
    <row r="101" spans="1:12" ht="15" thickTop="1" x14ac:dyDescent="0.3"/>
    <row r="102" spans="1:12" x14ac:dyDescent="0.3">
      <c r="A102" t="s">
        <v>56</v>
      </c>
      <c r="B102" s="20" t="s">
        <v>115</v>
      </c>
    </row>
    <row r="104" spans="1:12" x14ac:dyDescent="0.3">
      <c r="B104" s="4" t="s">
        <v>17</v>
      </c>
      <c r="C104" s="18">
        <f>IFERROR('Data Sheet'!B82,0)</f>
        <v>43261</v>
      </c>
      <c r="D104" s="18">
        <f>IFERROR('Data Sheet'!C82,0)</f>
        <v>34374</v>
      </c>
      <c r="E104" s="18">
        <f>IFERROR('Data Sheet'!D82,0)</f>
        <v>38134</v>
      </c>
      <c r="F104" s="18">
        <f>IFERROR('Data Sheet'!E82,0)</f>
        <v>49550</v>
      </c>
      <c r="G104" s="18">
        <f>IFERROR('Data Sheet'!F82,0)</f>
        <v>71459</v>
      </c>
      <c r="H104" s="18">
        <f>IFERROR('Data Sheet'!G82,0)</f>
        <v>42346</v>
      </c>
      <c r="I104" s="18">
        <f>IFERROR('Data Sheet'!H82,0)</f>
        <v>94877</v>
      </c>
      <c r="J104" s="18">
        <f>IFERROR('Data Sheet'!I82,0)</f>
        <v>26958</v>
      </c>
      <c r="K104" s="18">
        <f>IFERROR('Data Sheet'!J82,0)</f>
        <v>110654</v>
      </c>
      <c r="L104" s="18">
        <f>IFERROR('Data Sheet'!K82,0)</f>
        <v>115032</v>
      </c>
    </row>
    <row r="105" spans="1:12" x14ac:dyDescent="0.3">
      <c r="B105" s="4" t="s">
        <v>18</v>
      </c>
      <c r="C105" s="18">
        <f>IFERROR('Data Sheet'!B83,0)</f>
        <v>-73070</v>
      </c>
      <c r="D105" s="18">
        <f>IFERROR('Data Sheet'!C83,0)</f>
        <v>-64706</v>
      </c>
      <c r="E105" s="18">
        <f>IFERROR('Data Sheet'!D83,0)</f>
        <v>-36186</v>
      </c>
      <c r="F105" s="18">
        <f>IFERROR('Data Sheet'!E83,0)</f>
        <v>-66201</v>
      </c>
      <c r="G105" s="18">
        <f>IFERROR('Data Sheet'!F83,0)</f>
        <v>-68192</v>
      </c>
      <c r="H105" s="18">
        <f>IFERROR('Data Sheet'!G83,0)</f>
        <v>-94507</v>
      </c>
      <c r="I105" s="18">
        <f>IFERROR('Data Sheet'!H83,0)</f>
        <v>-72497</v>
      </c>
      <c r="J105" s="18">
        <f>IFERROR('Data Sheet'!I83,0)</f>
        <v>-142385</v>
      </c>
      <c r="K105" s="18">
        <f>IFERROR('Data Sheet'!J83,0)</f>
        <v>-109162</v>
      </c>
      <c r="L105" s="18">
        <f>IFERROR('Data Sheet'!K83,0)</f>
        <v>-91235</v>
      </c>
    </row>
    <row r="106" spans="1:12" x14ac:dyDescent="0.3">
      <c r="B106" s="4" t="s">
        <v>19</v>
      </c>
      <c r="C106" s="18">
        <f>IFERROR('Data Sheet'!B84,0)</f>
        <v>13713</v>
      </c>
      <c r="D106" s="18">
        <f>IFERROR('Data Sheet'!C84,0)</f>
        <v>8444</v>
      </c>
      <c r="E106" s="18">
        <f>IFERROR('Data Sheet'!D84,0)</f>
        <v>-3210</v>
      </c>
      <c r="F106" s="18">
        <f>IFERROR('Data Sheet'!E84,0)</f>
        <v>8617</v>
      </c>
      <c r="G106" s="18">
        <f>IFERROR('Data Sheet'!F84,0)</f>
        <v>-2001</v>
      </c>
      <c r="H106" s="18">
        <f>IFERROR('Data Sheet'!G84,0)</f>
        <v>55906</v>
      </c>
      <c r="I106" s="18">
        <f>IFERROR('Data Sheet'!H84,0)</f>
        <v>-2541</v>
      </c>
      <c r="J106" s="18">
        <f>IFERROR('Data Sheet'!I84,0)</f>
        <v>101904</v>
      </c>
      <c r="K106" s="18">
        <f>IFERROR('Data Sheet'!J84,0)</f>
        <v>17289</v>
      </c>
      <c r="L106" s="18">
        <f>IFERROR('Data Sheet'!K84,0)</f>
        <v>10455</v>
      </c>
    </row>
    <row r="107" spans="1:12" x14ac:dyDescent="0.3">
      <c r="B107" s="1" t="s">
        <v>20</v>
      </c>
      <c r="C107" s="45">
        <f>IFERROR('Data Sheet'!B85,0)</f>
        <v>-16096</v>
      </c>
      <c r="D107" s="45">
        <f>IFERROR('Data Sheet'!C85,0)</f>
        <v>-21888</v>
      </c>
      <c r="E107" s="45">
        <f>IFERROR('Data Sheet'!D85,0)</f>
        <v>-1262</v>
      </c>
      <c r="F107" s="45">
        <f>IFERROR('Data Sheet'!E85,0)</f>
        <v>-8034</v>
      </c>
      <c r="G107" s="45">
        <f>IFERROR('Data Sheet'!F85,0)</f>
        <v>1266</v>
      </c>
      <c r="H107" s="45">
        <f>IFERROR('Data Sheet'!G85,0)</f>
        <v>3745</v>
      </c>
      <c r="I107" s="45">
        <f>IFERROR('Data Sheet'!H85,0)</f>
        <v>19839</v>
      </c>
      <c r="J107" s="45">
        <f>IFERROR('Data Sheet'!I85,0)</f>
        <v>-13523</v>
      </c>
      <c r="K107" s="45">
        <f>IFERROR('Data Sheet'!J85,0)</f>
        <v>18781</v>
      </c>
      <c r="L107" s="45">
        <f>IFERROR('Data Sheet'!K85,0)</f>
        <v>34252</v>
      </c>
    </row>
  </sheetData>
  <mergeCells count="4">
    <mergeCell ref="B2:L2"/>
    <mergeCell ref="B5:L5"/>
    <mergeCell ref="B46:L46"/>
    <mergeCell ref="B68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C6B-0280-442D-BED4-453DEE2C39AB}">
  <dimension ref="B1:O41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.88671875" customWidth="1"/>
    <col min="2" max="2" width="29.33203125" style="8" customWidth="1"/>
    <col min="3" max="12" width="12.77734375" customWidth="1"/>
    <col min="13" max="13" width="14.77734375" customWidth="1"/>
    <col min="14" max="14" width="8.6640625" bestFit="1" customWidth="1"/>
    <col min="15" max="15" width="7.6640625" bestFit="1" customWidth="1"/>
  </cols>
  <sheetData>
    <row r="1" spans="2:15" x14ac:dyDescent="0.3">
      <c r="B1"/>
    </row>
    <row r="2" spans="2:15" x14ac:dyDescent="0.3">
      <c r="B2" s="73" t="str">
        <f>"Ratio Analysis - "&amp;'Data Sheet'!B1</f>
        <v>Ratio Analysis - RELIANCE INDUSTRIES LTD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  <c r="M3" s="63" t="s">
        <v>146</v>
      </c>
      <c r="N3" s="63" t="s">
        <v>144</v>
      </c>
      <c r="O3" s="63" t="s">
        <v>145</v>
      </c>
    </row>
    <row r="5" spans="2:15" x14ac:dyDescent="0.3">
      <c r="B5" s="49" t="s">
        <v>9</v>
      </c>
      <c r="C5" s="59" t="s">
        <v>143</v>
      </c>
      <c r="D5" s="51">
        <f>IFERROR('Historical FS'!D7,0)</f>
        <v>-0.13643860389692775</v>
      </c>
      <c r="E5" s="51">
        <f>IFERROR('Historical FS'!E7,0)</f>
        <v>-0.27189266291282466</v>
      </c>
      <c r="F5" s="51">
        <f>IFERROR('Historical FS'!F7,0)</f>
        <v>0.11508788148930793</v>
      </c>
      <c r="G5" s="51">
        <f>IFERROR('Historical FS'!G7,0)</f>
        <v>0.28579653500200686</v>
      </c>
      <c r="H5" s="51">
        <f>IFERROR('Historical FS'!H7,0)</f>
        <v>0.45420561225925793</v>
      </c>
      <c r="I5" s="51">
        <f>IFERROR('Historical FS'!I7,0)</f>
        <v>4.9868299969912266E-2</v>
      </c>
      <c r="J5" s="51">
        <f>IFERROR('Historical FS'!J7,0)</f>
        <v>-0.21849604226057895</v>
      </c>
      <c r="K5" s="51">
        <f>IFERROR('Historical FS'!K7,0)</f>
        <v>0.49830905390654645</v>
      </c>
      <c r="L5" s="51">
        <f>IFERROR('Historical FS'!L7,0)</f>
        <v>0.25643363409439623</v>
      </c>
      <c r="M5" s="50"/>
      <c r="N5" s="51">
        <f>IFERROR(AVERAGE(D5:L5),0)</f>
        <v>0.11476374529456626</v>
      </c>
      <c r="O5" s="51">
        <f>IFERROR(MEDIAN(C5:L5),0)</f>
        <v>0.11508788148930793</v>
      </c>
    </row>
    <row r="6" spans="2:15" x14ac:dyDescent="0.3">
      <c r="B6" s="8" t="s">
        <v>116</v>
      </c>
      <c r="C6" s="13" t="s">
        <v>143</v>
      </c>
      <c r="D6" s="48">
        <f>IFERROR('Historical FS'!D18/'Historical FS'!C18-1,0)</f>
        <v>7.1962215543151631E-2</v>
      </c>
      <c r="E6" s="48">
        <f>IFERROR('Historical FS'!E18/'Historical FS'!D18-1,0)</f>
        <v>0.11567732115677321</v>
      </c>
      <c r="F6" s="48">
        <f>IFERROR('Historical FS'!F18/'Historical FS'!E18-1,0)</f>
        <v>0.10832675139417436</v>
      </c>
      <c r="G6" s="48">
        <f>IFERROR('Historical FS'!G18/'Historical FS'!F18-1,0)</f>
        <v>0.38888289027576817</v>
      </c>
      <c r="H6" s="48">
        <f>IFERROR('Historical FS'!H18/'Historical FS'!G18-1,0)</f>
        <v>0.3099587965482391</v>
      </c>
      <c r="I6" s="48">
        <f>IFERROR('Historical FS'!I18/'Historical FS'!H18-1,0)</f>
        <v>5.9537091988130619E-2</v>
      </c>
      <c r="J6" s="48">
        <f>IFERROR('Historical FS'!J18/'Historical FS'!I18-1,0)</f>
        <v>-9.4952165438128788E-2</v>
      </c>
      <c r="K6" s="48">
        <f>IFERROR('Historical FS'!K18/'Historical FS'!J18-1,0)</f>
        <v>0.36891942072038608</v>
      </c>
      <c r="L6" s="48">
        <f>IFERROR('Historical FS'!L18/'Historical FS'!K18-1,0)</f>
        <v>0.28542881685428823</v>
      </c>
      <c r="N6" s="48">
        <f t="shared" ref="N6:N9" si="0">IFERROR(AVERAGE(D6:L6),0)</f>
        <v>0.17930457100475364</v>
      </c>
      <c r="O6" s="48">
        <f t="shared" ref="O6:O31" si="1">IFERROR(MEDIAN(C6:L6),0)</f>
        <v>0.11567732115677321</v>
      </c>
    </row>
    <row r="7" spans="2:15" x14ac:dyDescent="0.3">
      <c r="B7" s="8" t="s">
        <v>122</v>
      </c>
      <c r="C7" s="13" t="s">
        <v>143</v>
      </c>
      <c r="D7" s="48">
        <f>IFERROR('Historical FS'!D27/'Historical FS'!C27-1,0)</f>
        <v>0.13508895366368479</v>
      </c>
      <c r="E7" s="48">
        <f>IFERROR('Historical FS'!E27/'Historical FS'!D27-1,0)</f>
        <v>0.17440007084034348</v>
      </c>
      <c r="F7" s="48">
        <f>IFERROR('Historical FS'!F27/'Historical FS'!E27-1,0)</f>
        <v>0.1616211121583413</v>
      </c>
      <c r="G7" s="48">
        <f>IFERROR('Historical FS'!G27/'Historical FS'!F27-1,0)</f>
        <v>0.28381799298974419</v>
      </c>
      <c r="H7" s="48">
        <f>IFERROR('Historical FS'!H27/'Historical FS'!G27-1,0)</f>
        <v>0.18363374371160601</v>
      </c>
      <c r="I7" s="48">
        <f>IFERROR('Historical FS'!I27/'Historical FS'!H27-1,0)</f>
        <v>-3.8123918754405128E-2</v>
      </c>
      <c r="J7" s="48">
        <f>IFERROR('Historical FS'!J27/'Historical FS'!I27-1,0)</f>
        <v>-0.26660893507416294</v>
      </c>
      <c r="K7" s="48">
        <f>IFERROR('Historical FS'!K27/'Historical FS'!J27-1,0)</f>
        <v>1.0047231221048172</v>
      </c>
      <c r="L7" s="48">
        <f>IFERROR('Historical FS'!L27/'Historical FS'!K27-1,0)</f>
        <v>0.24275832905427852</v>
      </c>
      <c r="N7" s="48">
        <f t="shared" si="0"/>
        <v>0.20903449674380525</v>
      </c>
      <c r="O7" s="48">
        <f t="shared" si="1"/>
        <v>0.17440007084034348</v>
      </c>
    </row>
    <row r="8" spans="2:15" x14ac:dyDescent="0.3">
      <c r="B8" s="8" t="s">
        <v>117</v>
      </c>
      <c r="C8" s="13" t="s">
        <v>143</v>
      </c>
      <c r="D8" s="48">
        <f>IFERROR('Historical FS'!D33/'Historical FS'!C33-1,0)</f>
        <v>0.10443616166045455</v>
      </c>
      <c r="E8" s="48">
        <f>IFERROR('Historical FS'!E33/'Historical FS'!D33-1,0)</f>
        <v>0.16787983059820011</v>
      </c>
      <c r="F8" s="48">
        <f>IFERROR('Historical FS'!F33/'Historical FS'!E33-1,0)</f>
        <v>0.16782820556405453</v>
      </c>
      <c r="G8" s="48">
        <f>IFERROR('Historical FS'!G33/'Historical FS'!F33-1,0)</f>
        <v>0.27169957789529864</v>
      </c>
      <c r="H8" s="48">
        <f>IFERROR('Historical FS'!H33/'Historical FS'!G33-1,0)</f>
        <v>0.19915302735492735</v>
      </c>
      <c r="I8" s="48">
        <f>IFERROR('Historical FS'!I33/'Historical FS'!H33-1,0)</f>
        <v>-3.8497025229868864E-3</v>
      </c>
      <c r="J8" s="48">
        <f>IFERROR('Historical FS'!J33/'Historical FS'!I33-1,0)</f>
        <v>-9.5816033216178376E-5</v>
      </c>
      <c r="K8" s="48">
        <f>IFERROR('Historical FS'!K33/'Historical FS'!J33-1,0)</f>
        <v>0.59443574919347109</v>
      </c>
      <c r="L8" s="48">
        <f>IFERROR('Historical FS'!L33/'Historical FS'!K33-1,0)</f>
        <v>0.24029889616763822</v>
      </c>
      <c r="N8" s="48">
        <f t="shared" si="0"/>
        <v>0.19353176998642682</v>
      </c>
      <c r="O8" s="48">
        <f t="shared" si="1"/>
        <v>0.16787983059820011</v>
      </c>
    </row>
    <row r="9" spans="2:15" x14ac:dyDescent="0.3">
      <c r="B9" s="52" t="s">
        <v>118</v>
      </c>
      <c r="C9" s="13" t="s">
        <v>143</v>
      </c>
      <c r="D9" s="54">
        <f>IFERROR('Historical FS'!D41/'Historical FS'!C41-1,0)</f>
        <v>5.2484500599921713E-2</v>
      </c>
      <c r="E9" s="54">
        <f>IFERROR('Historical FS'!E41/'Historical FS'!D41-1,0)</f>
        <v>5.0262391998132427E-2</v>
      </c>
      <c r="F9" s="54">
        <f>IFERROR('Historical FS'!F41/'Historical FS'!E41-1,0)</f>
        <v>4.79806333968813E-2</v>
      </c>
      <c r="G9" s="54">
        <f>IFERROR('Historical FS'!G41/'Historical FS'!F41-1,0)</f>
        <v>0.12059760875183789</v>
      </c>
      <c r="H9" s="54">
        <f>IFERROR('Historical FS'!H41/'Historical FS'!G41-1,0)</f>
        <v>8.3375632674662858E-2</v>
      </c>
      <c r="I9" s="54">
        <f>IFERROR('Historical FS'!I41/'Historical FS'!H41-1,0)</f>
        <v>6.9597962361796162E-2</v>
      </c>
      <c r="J9" s="54">
        <f>IFERROR('Historical FS'!J41/'Historical FS'!I41-1,0)</f>
        <v>0.16790479522729762</v>
      </c>
      <c r="K9" s="54">
        <f>IFERROR('Historical FS'!K41/'Historical FS'!J41-1,0)</f>
        <v>0.12414828064820838</v>
      </c>
      <c r="L9" s="54">
        <f>IFERROR('Historical FS'!L41/'Historical FS'!K41-1,0)</f>
        <v>-1</v>
      </c>
      <c r="M9" s="53"/>
      <c r="N9" s="54">
        <f t="shared" si="0"/>
        <v>-3.151646603791796E-2</v>
      </c>
      <c r="O9" s="54">
        <f t="shared" si="1"/>
        <v>6.9597962361796162E-2</v>
      </c>
    </row>
    <row r="10" spans="2:15" x14ac:dyDescent="0.3">
      <c r="C10" s="58"/>
    </row>
    <row r="11" spans="2:15" x14ac:dyDescent="0.3">
      <c r="B11" s="49" t="s">
        <v>119</v>
      </c>
      <c r="C11" s="51">
        <f>IFERROR('Historical FS'!C13,0)</f>
        <v>0.10638008308709382</v>
      </c>
      <c r="D11" s="51">
        <f>IFERROR('Historical FS'!D13,0)</f>
        <v>0.13860278012244506</v>
      </c>
      <c r="E11" s="51">
        <f>IFERROR('Historical FS'!E13,0)</f>
        <v>0.21039096348635095</v>
      </c>
      <c r="F11" s="51">
        <f>IFERROR('Historical FS'!F13,0)</f>
        <v>0.20432697052843524</v>
      </c>
      <c r="G11" s="51">
        <f>IFERROR('Historical FS'!G13,0)</f>
        <v>0.22919326651706784</v>
      </c>
      <c r="H11" s="51">
        <f>IFERROR('Historical FS'!H13,0)</f>
        <v>0.23249410121107722</v>
      </c>
      <c r="I11" s="51">
        <f>IFERROR('Historical FS'!I13,0)</f>
        <v>0.25278583627042345</v>
      </c>
      <c r="J11" s="51">
        <f>IFERROR('Historical FS'!J13,0)</f>
        <v>0.29570218761459727</v>
      </c>
      <c r="K11" s="51">
        <f>IFERROR('Historical FS'!K13,0)</f>
        <v>0.25034494011496095</v>
      </c>
      <c r="L11" s="51">
        <f>IFERROR('Historical FS'!L13,0)</f>
        <v>0.3012866882728531</v>
      </c>
      <c r="M11" s="50"/>
      <c r="N11" s="51">
        <f>IFERROR(AVERAGE(C11:L11),0)</f>
        <v>0.2221507817225305</v>
      </c>
      <c r="O11" s="51">
        <f t="shared" si="1"/>
        <v>0.23084368386407253</v>
      </c>
    </row>
    <row r="12" spans="2:15" x14ac:dyDescent="0.3">
      <c r="B12" s="8" t="s">
        <v>65</v>
      </c>
      <c r="C12" s="48">
        <f>IFERROR('Historical FS'!C19,0)</f>
        <v>8.0584331554872768E-2</v>
      </c>
      <c r="D12" s="48">
        <f>IFERROR('Historical FS'!D19,0)</f>
        <v>0.10003151945124102</v>
      </c>
      <c r="E12" s="48">
        <f>IFERROR('Historical FS'!E19,0)</f>
        <v>0.15327808410649232</v>
      </c>
      <c r="F12" s="48">
        <f>IFERROR('Historical FS'!F19,0)</f>
        <v>0.15234871066016567</v>
      </c>
      <c r="G12" s="48">
        <f>IFERROR('Historical FS'!G19,0)</f>
        <v>0.16456298631349742</v>
      </c>
      <c r="H12" s="48">
        <f>IFERROR('Historical FS'!H19,0)</f>
        <v>0.14823951282425743</v>
      </c>
      <c r="I12" s="48">
        <f>IFERROR('Historical FS'!I19,0)</f>
        <v>0.1496047288408005</v>
      </c>
      <c r="J12" s="48">
        <f>IFERROR('Historical FS'!J19,0)</f>
        <v>0.17325495864312568</v>
      </c>
      <c r="K12" s="48">
        <f>IFERROR('Historical FS'!K19,0)</f>
        <v>0.15829316188426043</v>
      </c>
      <c r="L12" s="48">
        <f>IFERROR('Historical FS'!L19,0)</f>
        <v>0.16194615161163545</v>
      </c>
      <c r="N12" s="48">
        <f t="shared" ref="N12:N31" si="2">IFERROR(AVERAGE(C12:L12),0)</f>
        <v>0.14421441458903486</v>
      </c>
      <c r="O12" s="48">
        <f t="shared" si="1"/>
        <v>0.152813397383329</v>
      </c>
    </row>
    <row r="13" spans="2:15" x14ac:dyDescent="0.3">
      <c r="B13" s="8" t="s">
        <v>120</v>
      </c>
      <c r="C13" s="48">
        <f>IFERROR(('Historical FS'!C18-'Historical FS'!C24)/'Historical FS'!C6,0)</f>
        <v>5.4747059542674982E-2</v>
      </c>
      <c r="D13" s="48">
        <f>IFERROR(('Historical FS'!D18-'Historical FS'!D24)/'Historical FS'!D6,0)</f>
        <v>6.9187866613956178E-2</v>
      </c>
      <c r="E13" s="48">
        <f>IFERROR(('Historical FS'!E18-'Historical FS'!E24)/'Historical FS'!E6,0)</f>
        <v>0.11085063998855395</v>
      </c>
      <c r="F13" s="48">
        <f>IFERROR(('Historical FS'!F18-'Historical FS'!F24)/'Historical FS'!F6,0)</f>
        <v>0.11403370246813663</v>
      </c>
      <c r="G13" s="48">
        <f>IFERROR(('Historical FS'!G18-'Historical FS'!G24)/'Historical FS'!G6,0)</f>
        <v>0.12181729325039724</v>
      </c>
      <c r="H13" s="48">
        <f>IFERROR(('Historical FS'!H18-'Historical FS'!H24)/'Historical FS'!H6,0)</f>
        <v>0.11140573286623957</v>
      </c>
      <c r="I13" s="48">
        <f>IFERROR(('Historical FS'!I18-'Historical FS'!I24)/'Historical FS'!I6,0)</f>
        <v>0.11239376616237541</v>
      </c>
      <c r="J13" s="48">
        <f>IFERROR(('Historical FS'!J18-'Historical FS'!J24)/'Historical FS'!J6,0)</f>
        <v>0.11627104032322054</v>
      </c>
      <c r="K13" s="48">
        <f>IFERROR(('Historical FS'!K18-'Historical FS'!K24)/'Historical FS'!K6,0)</f>
        <v>0.11564510957931619</v>
      </c>
      <c r="L13" s="48">
        <f>IFERROR(('Historical FS'!L18-'Historical FS'!L24)/'Historical FS'!L6,0)</f>
        <v>0.11603433447060096</v>
      </c>
      <c r="N13" s="48">
        <f t="shared" si="2"/>
        <v>0.10423865452654715</v>
      </c>
      <c r="O13" s="48">
        <f t="shared" si="1"/>
        <v>0.11321373431525603</v>
      </c>
    </row>
    <row r="14" spans="2:15" x14ac:dyDescent="0.3">
      <c r="B14" s="8" t="s">
        <v>121</v>
      </c>
      <c r="C14" s="48">
        <f>IFERROR('Historical FS'!C28,0)</f>
        <v>4.5898583920963458E-2</v>
      </c>
      <c r="D14" s="48">
        <f>IFERROR('Historical FS'!D28,0)</f>
        <v>6.033036658724477E-2</v>
      </c>
      <c r="E14" s="48">
        <f>IFERROR('Historical FS'!E28,0)</f>
        <v>9.7309810222941273E-2</v>
      </c>
      <c r="F14" s="48">
        <f>IFERROR('Historical FS'!F28,0)</f>
        <v>0.10137060213058555</v>
      </c>
      <c r="G14" s="48">
        <f>IFERROR('Historical FS'!G28,0)</f>
        <v>0.10121461633527198</v>
      </c>
      <c r="H14" s="48">
        <f>IFERROR('Historical FS'!H28,0)</f>
        <v>8.238245970260602E-2</v>
      </c>
      <c r="I14" s="48">
        <f>IFERROR('Historical FS'!I28,0)</f>
        <v>7.5477769453927493E-2</v>
      </c>
      <c r="J14" s="48">
        <f>IFERROR('Historical FS'!J28,0)</f>
        <v>7.0831019049681865E-2</v>
      </c>
      <c r="K14" s="48">
        <f>IFERROR('Historical FS'!K28,0)</f>
        <v>9.4771223120434192E-2</v>
      </c>
      <c r="L14" s="48">
        <f>IFERROR('Historical FS'!L28,0)</f>
        <v>9.3739711904856832E-2</v>
      </c>
      <c r="N14" s="48">
        <f t="shared" si="2"/>
        <v>8.2332616242851347E-2</v>
      </c>
      <c r="O14" s="48">
        <f t="shared" si="1"/>
        <v>8.8061085803731426E-2</v>
      </c>
    </row>
    <row r="15" spans="2:15" x14ac:dyDescent="0.3">
      <c r="B15" s="52" t="s">
        <v>72</v>
      </c>
      <c r="C15" s="54">
        <f>IFERROR('Historical FS'!C34,0)</f>
        <v>3.1562484862325012E-2</v>
      </c>
      <c r="D15" s="54">
        <f>IFERROR('Historical FS'!D34,0)</f>
        <v>4.0366266707980297E-2</v>
      </c>
      <c r="E15" s="54">
        <f>IFERROR('Historical FS'!E34,0)</f>
        <v>6.4747251295935546E-2</v>
      </c>
      <c r="F15" s="54">
        <f>IFERROR('Historical FS'!F34,0)</f>
        <v>6.7809602768840016E-2</v>
      </c>
      <c r="G15" s="54">
        <f>IFERROR('Historical FS'!G34,0)</f>
        <v>6.7066165502030331E-2</v>
      </c>
      <c r="H15" s="54">
        <f>IFERROR('Historical FS'!H34,0)</f>
        <v>5.5303455520228313E-2</v>
      </c>
      <c r="I15" s="54">
        <f>IFERROR('Historical FS'!I34,0)</f>
        <v>5.247377568173172E-2</v>
      </c>
      <c r="J15" s="54">
        <f>IFERROR('Historical FS'!J34,0)</f>
        <v>6.7138172920415087E-2</v>
      </c>
      <c r="K15" s="54">
        <f>IFERROR('Historical FS'!K34,0)</f>
        <v>7.1445542400439696E-2</v>
      </c>
      <c r="L15" s="54">
        <f>IFERROR('Historical FS'!L34,0)</f>
        <v>7.0528060512510898E-2</v>
      </c>
      <c r="M15" s="53"/>
      <c r="N15" s="54">
        <f t="shared" si="2"/>
        <v>5.8844077817243691E-2</v>
      </c>
      <c r="O15" s="54">
        <f t="shared" si="1"/>
        <v>6.5906708398982938E-2</v>
      </c>
    </row>
    <row r="17" spans="2:15" x14ac:dyDescent="0.3">
      <c r="B17" s="49" t="s">
        <v>123</v>
      </c>
      <c r="C17" s="51">
        <f>IFERROR('Historical FS'!C16,0)</f>
        <v>2.5795751532221047E-2</v>
      </c>
      <c r="D17" s="51">
        <f>IFERROR('Historical FS'!D16,0)</f>
        <v>3.857126067120404E-2</v>
      </c>
      <c r="E17" s="51">
        <f>IFERROR('Historical FS'!E16,0)</f>
        <v>5.7112879379858615E-2</v>
      </c>
      <c r="F17" s="51">
        <f>IFERROR('Historical FS'!F16,0)</f>
        <v>5.1978259868269538E-2</v>
      </c>
      <c r="G17" s="51">
        <f>IFERROR('Historical FS'!G16,0)</f>
        <v>6.4630280203570409E-2</v>
      </c>
      <c r="H17" s="51">
        <f>IFERROR('Historical FS'!H16,0)</f>
        <v>8.425458838681979E-2</v>
      </c>
      <c r="I17" s="51">
        <f>IFERROR('Historical FS'!I16,0)</f>
        <v>0.10318110742962296</v>
      </c>
      <c r="J17" s="51">
        <f>IFERROR('Historical FS'!J16,0)</f>
        <v>0.12244722897147159</v>
      </c>
      <c r="K17" s="51">
        <f>IFERROR('Historical FS'!K16,0)</f>
        <v>9.2051778230700529E-2</v>
      </c>
      <c r="L17" s="51">
        <f>IFERROR('Historical FS'!L16,0)</f>
        <v>0.13934053666121765</v>
      </c>
      <c r="M17" s="50"/>
      <c r="N17" s="51">
        <f t="shared" si="2"/>
        <v>7.793636713349561E-2</v>
      </c>
      <c r="O17" s="51">
        <f t="shared" si="1"/>
        <v>7.4442434295195092E-2</v>
      </c>
    </row>
    <row r="18" spans="2:15" x14ac:dyDescent="0.3">
      <c r="B18" s="8" t="s">
        <v>67</v>
      </c>
      <c r="C18" s="48">
        <f>IFERROR('Historical FS'!C25,0)</f>
        <v>2.5837272012197793E-2</v>
      </c>
      <c r="D18" s="48">
        <f>IFERROR('Historical FS'!D25,0)</f>
        <v>3.0843652837284841E-2</v>
      </c>
      <c r="E18" s="48">
        <f>IFERROR('Historical FS'!E25,0)</f>
        <v>4.242744411793839E-2</v>
      </c>
      <c r="F18" s="48">
        <f>IFERROR('Historical FS'!F25,0)</f>
        <v>3.8315008192029057E-2</v>
      </c>
      <c r="G18" s="48">
        <f>IFERROR('Historical FS'!G25,0)</f>
        <v>4.2745693063100179E-2</v>
      </c>
      <c r="H18" s="48">
        <f>IFERROR('Historical FS'!H25,0)</f>
        <v>3.6833779958017863E-2</v>
      </c>
      <c r="I18" s="48">
        <f>IFERROR('Historical FS'!I25,0)</f>
        <v>3.721096267842508E-2</v>
      </c>
      <c r="J18" s="48">
        <f>IFERROR('Historical FS'!J25,0)</f>
        <v>5.6983918319905125E-2</v>
      </c>
      <c r="K18" s="48">
        <f>IFERROR('Historical FS'!K25,0)</f>
        <v>4.2648052304944235E-2</v>
      </c>
      <c r="L18" s="48">
        <f>IFERROR('Historical FS'!L25,0)</f>
        <v>4.5911817141034476E-2</v>
      </c>
      <c r="N18" s="48">
        <f t="shared" si="2"/>
        <v>3.9975760062487702E-2</v>
      </c>
      <c r="O18" s="48">
        <f t="shared" si="1"/>
        <v>4.0371226154983723E-2</v>
      </c>
    </row>
    <row r="19" spans="2:15" x14ac:dyDescent="0.3">
      <c r="B19" s="52" t="s">
        <v>124</v>
      </c>
      <c r="C19" s="55">
        <f>C13</f>
        <v>5.4747059542674982E-2</v>
      </c>
      <c r="D19" s="55">
        <f t="shared" ref="D19:K19" si="3">D13</f>
        <v>6.9187866613956178E-2</v>
      </c>
      <c r="E19" s="55">
        <f t="shared" si="3"/>
        <v>0.11085063998855395</v>
      </c>
      <c r="F19" s="55">
        <f t="shared" si="3"/>
        <v>0.11403370246813663</v>
      </c>
      <c r="G19" s="55">
        <f t="shared" si="3"/>
        <v>0.12181729325039724</v>
      </c>
      <c r="H19" s="55">
        <f t="shared" si="3"/>
        <v>0.11140573286623957</v>
      </c>
      <c r="I19" s="55">
        <f t="shared" si="3"/>
        <v>0.11239376616237541</v>
      </c>
      <c r="J19" s="55">
        <f t="shared" si="3"/>
        <v>0.11627104032322054</v>
      </c>
      <c r="K19" s="55">
        <f t="shared" si="3"/>
        <v>0.11564510957931619</v>
      </c>
      <c r="L19" s="55">
        <f t="shared" ref="L19" si="4">L13</f>
        <v>0.11603433447060096</v>
      </c>
      <c r="M19" s="53"/>
      <c r="N19" s="54">
        <f t="shared" si="2"/>
        <v>0.10423865452654715</v>
      </c>
      <c r="O19" s="54">
        <f t="shared" si="1"/>
        <v>0.11321373431525603</v>
      </c>
    </row>
    <row r="21" spans="2:15" x14ac:dyDescent="0.3">
      <c r="B21" s="49" t="s">
        <v>125</v>
      </c>
      <c r="C21" s="51">
        <f>IFERROR(('Historical FS'!C18-'Historical FS'!C24)/SUM('Historical FS'!C47:C49),0)</f>
        <v>7.033379957800906E-2</v>
      </c>
      <c r="D21" s="51">
        <f>IFERROR(('Historical FS'!D18-'Historical FS'!D24)/SUM('Historical FS'!D47:D49),0)</f>
        <v>6.6973497091144155E-2</v>
      </c>
      <c r="E21" s="51">
        <f>IFERROR(('Historical FS'!E18-'Historical FS'!E24)/SUM('Historical FS'!E47:E49),0)</f>
        <v>7.0884650573580121E-2</v>
      </c>
      <c r="F21" s="51">
        <f>IFERROR(('Historical FS'!F18-'Historical FS'!F24)/SUM('Historical FS'!F47:F49),0)</f>
        <v>7.203273591806876E-2</v>
      </c>
      <c r="G21" s="51">
        <f>IFERROR(('Historical FS'!G18-'Historical FS'!G24)/SUM('Historical FS'!G47:G49),0)</f>
        <v>8.9264252862572169E-2</v>
      </c>
      <c r="H21" s="51">
        <f>IFERROR(('Historical FS'!H18-'Historical FS'!H24)/SUM('Historical FS'!H47:H49),0)</f>
        <v>9.1124972295222109E-2</v>
      </c>
      <c r="I21" s="51">
        <f>IFERROR(('Historical FS'!I18-'Historical FS'!I24)/SUM('Historical FS'!I47:I49),0)</f>
        <v>8.3380683054436217E-2</v>
      </c>
      <c r="J21" s="51">
        <f>IFERROR(('Historical FS'!J18-'Historical FS'!J24)/SUM('Historical FS'!J47:J49),0)</f>
        <v>5.5373421819689642E-2</v>
      </c>
      <c r="K21" s="51">
        <f>IFERROR(('Historical FS'!K18-'Historical FS'!K24)/SUM('Historical FS'!K47:K49),0)</f>
        <v>7.3543453150841542E-2</v>
      </c>
      <c r="L21" s="51">
        <f>IFERROR(('Historical FS'!L18-'Historical FS'!L24)/SUM('Historical FS'!L47:L49),0)</f>
        <v>8.8091451343827273E-2</v>
      </c>
      <c r="M21" s="50"/>
      <c r="N21" s="51">
        <f t="shared" si="2"/>
        <v>7.6100291768739087E-2</v>
      </c>
      <c r="O21" s="51">
        <f t="shared" si="1"/>
        <v>7.2788094534455144E-2</v>
      </c>
    </row>
    <row r="22" spans="2:15" x14ac:dyDescent="0.3">
      <c r="B22" s="8" t="s">
        <v>126</v>
      </c>
      <c r="C22" s="48">
        <f>'Historical FS'!C44</f>
        <v>0.7958780969085727</v>
      </c>
      <c r="D22" s="48">
        <f>'Historical FS'!D44</f>
        <v>0.80525410269984121</v>
      </c>
      <c r="E22" s="48">
        <f>'Historical FS'!E44</f>
        <v>0.8246132925378209</v>
      </c>
      <c r="F22" s="48">
        <f>'Historical FS'!F44</f>
        <v>0.84207947212653433</v>
      </c>
      <c r="G22" s="48">
        <f>'Historical FS'!G44</f>
        <v>0.86443859448323224</v>
      </c>
      <c r="H22" s="48">
        <f>'Historical FS'!H44</f>
        <v>0.87744901530336294</v>
      </c>
      <c r="I22" s="48">
        <f>'Historical FS'!I44</f>
        <v>0.86840146917917593</v>
      </c>
      <c r="J22" s="48">
        <f>'Historical FS'!J44</f>
        <v>0.85589484779761715</v>
      </c>
      <c r="K22" s="48">
        <f>'Historical FS'!K44</f>
        <v>0.89158002283791093</v>
      </c>
      <c r="L22" s="48">
        <f>'Historical FS'!L44</f>
        <v>1</v>
      </c>
      <c r="N22" s="48">
        <f t="shared" si="2"/>
        <v>0.86255889138740682</v>
      </c>
      <c r="O22" s="48">
        <f t="shared" si="1"/>
        <v>0.86016672114042469</v>
      </c>
    </row>
    <row r="23" spans="2:15" x14ac:dyDescent="0.3">
      <c r="B23" s="8" t="s">
        <v>127</v>
      </c>
      <c r="C23" s="48">
        <f>IFERROR('Historical FS'!C33/SUM('Historical FS'!C47:C48),0)</f>
        <v>6.8867112594180796E-2</v>
      </c>
      <c r="D23" s="48">
        <f>IFERROR('Historical FS'!D33/SUM('Historical FS'!D47:D48),0)</f>
        <v>6.9162787930379541E-2</v>
      </c>
      <c r="E23" s="48">
        <f>IFERROR('Historical FS'!E33/SUM('Historical FS'!E47:E48),0)</f>
        <v>7.6219143533313757E-2</v>
      </c>
      <c r="F23" s="48">
        <f>IFERROR('Historical FS'!F33/SUM('Historical FS'!F47:F48),0)</f>
        <v>7.8158121262452168E-2</v>
      </c>
      <c r="G23" s="48">
        <f>IFERROR('Historical FS'!G33/SUM('Historical FS'!G47:G48),0)</f>
        <v>8.9303114757449592E-2</v>
      </c>
      <c r="H23" s="48">
        <f>IFERROR('Historical FS'!H33/SUM('Historical FS'!H47:H48),0)</f>
        <v>8.119355638678212E-2</v>
      </c>
      <c r="I23" s="48">
        <f>IFERROR('Historical FS'!I33/SUM('Historical FS'!I47:I48),0)</f>
        <v>6.970696802518446E-2</v>
      </c>
      <c r="J23" s="48">
        <f>IFERROR('Historical FS'!J33/SUM('Historical FS'!J47:J48),0)</f>
        <v>4.4713299017955586E-2</v>
      </c>
      <c r="K23" s="48">
        <f>IFERROR('Historical FS'!K33/SUM('Historical FS'!K47:K48),0)</f>
        <v>6.403843563378385E-2</v>
      </c>
      <c r="L23" s="48">
        <f>IFERROR('Historical FS'!L33/SUM('Historical FS'!L47:L48),0)</f>
        <v>7.5396424296081246E-2</v>
      </c>
      <c r="N23" s="48">
        <f t="shared" si="2"/>
        <v>7.1675896343756318E-2</v>
      </c>
      <c r="O23" s="48">
        <f t="shared" si="1"/>
        <v>7.2551696160632853E-2</v>
      </c>
    </row>
    <row r="24" spans="2:15" x14ac:dyDescent="0.3">
      <c r="B24" s="8" t="s">
        <v>129</v>
      </c>
      <c r="C24" s="48">
        <f>IFERROR(C22*C23,0)</f>
        <v>5.4809826511045011E-2</v>
      </c>
      <c r="D24" s="48">
        <f t="shared" ref="D24:K24" si="5">IFERROR(D22*D23,0)</f>
        <v>5.5693618735097185E-2</v>
      </c>
      <c r="E24" s="48">
        <f t="shared" si="5"/>
        <v>6.2851318903418621E-2</v>
      </c>
      <c r="F24" s="48">
        <f t="shared" si="5"/>
        <v>6.5815349495087383E-2</v>
      </c>
      <c r="G24" s="48">
        <f t="shared" si="5"/>
        <v>7.7197059003904514E-2</v>
      </c>
      <c r="H24" s="48">
        <f t="shared" si="5"/>
        <v>7.124320610056005E-2</v>
      </c>
      <c r="I24" s="48">
        <f t="shared" si="5"/>
        <v>6.0533633445096026E-2</v>
      </c>
      <c r="J24" s="48">
        <f t="shared" si="5"/>
        <v>3.8269882257502441E-2</v>
      </c>
      <c r="K24" s="48">
        <f t="shared" si="5"/>
        <v>5.7095389904873096E-2</v>
      </c>
      <c r="L24" s="48">
        <f t="shared" ref="L24" si="6">IFERROR(L22*L23,0)</f>
        <v>7.5396424296081246E-2</v>
      </c>
      <c r="N24" s="48">
        <f t="shared" si="2"/>
        <v>6.1890570865266559E-2</v>
      </c>
      <c r="O24" s="48">
        <f t="shared" si="1"/>
        <v>6.1692476174257327E-2</v>
      </c>
    </row>
    <row r="25" spans="2:15" x14ac:dyDescent="0.3">
      <c r="B25" s="52" t="s">
        <v>128</v>
      </c>
      <c r="C25" s="56">
        <f>IFERROR(('Historical FS'!C18-'Historical FS'!C24)/'Historical FS'!C21,0)</f>
        <v>6.1871741397288842</v>
      </c>
      <c r="D25" s="56">
        <f>IFERROR(('Historical FS'!D18-'Historical FS'!D24)/'Historical FS'!D21,0)</f>
        <v>7.8112183353437876</v>
      </c>
      <c r="E25" s="56">
        <f>IFERROR(('Historical FS'!E18-'Historical FS'!E24)/'Historical FS'!E21,0)</f>
        <v>8.1863993497697098</v>
      </c>
      <c r="F25" s="56">
        <f>IFERROR(('Historical FS'!F18-'Historical FS'!F24)/'Historical FS'!F21,0)</f>
        <v>9.0051961548454145</v>
      </c>
      <c r="G25" s="56">
        <f>IFERROR(('Historical FS'!G18-'Historical FS'!G24)/'Historical FS'!G21,0)</f>
        <v>5.9126924987580729</v>
      </c>
      <c r="H25" s="56">
        <f>IFERROR(('Historical FS'!H18-'Historical FS'!H24)/'Historical FS'!H21,0)</f>
        <v>3.8384965140951803</v>
      </c>
      <c r="I25" s="56">
        <f>IFERROR(('Historical FS'!I18-'Historical FS'!I24)/'Historical FS'!I21,0)</f>
        <v>3.0445816497934355</v>
      </c>
      <c r="J25" s="56">
        <f>IFERROR(('Historical FS'!J18-'Historical FS'!J24)/'Historical FS'!J21,0)</f>
        <v>2.5587804993156826</v>
      </c>
      <c r="K25" s="56">
        <f>IFERROR(('Historical FS'!K18-'Historical FS'!K24)/'Historical FS'!K21,0)</f>
        <v>5.540181020296215</v>
      </c>
      <c r="L25" s="56">
        <f>IFERROR(('Historical FS'!L18-'Historical FS'!L24)/'Historical FS'!L21,0)</f>
        <v>5.2045884216442699</v>
      </c>
      <c r="M25" s="53"/>
      <c r="N25" s="56">
        <f t="shared" si="2"/>
        <v>5.7289308583590657</v>
      </c>
      <c r="O25" s="56">
        <f t="shared" si="1"/>
        <v>5.7264367595271439</v>
      </c>
    </row>
    <row r="27" spans="2:15" x14ac:dyDescent="0.3">
      <c r="B27" s="49" t="s">
        <v>130</v>
      </c>
      <c r="C27" s="57">
        <f>IFERROR('Historical FS'!C6/'Historical FS'!C59,0)</f>
        <v>46.065349059611094</v>
      </c>
      <c r="D27" s="57">
        <f>IFERROR('Historical FS'!D6/'Historical FS'!D59,0)</f>
        <v>70.43687676387583</v>
      </c>
      <c r="E27" s="57">
        <f>IFERROR('Historical FS'!E6/'Historical FS'!E59,0)</f>
        <v>61.048824188129899</v>
      </c>
      <c r="F27" s="57">
        <f>IFERROR('Historical FS'!F6/'Historical FS'!F59,0)</f>
        <v>37.171823407117522</v>
      </c>
      <c r="G27" s="57">
        <f>IFERROR('Historical FS'!G6/'Historical FS'!G59,0)</f>
        <v>22.262774138422103</v>
      </c>
      <c r="H27" s="57">
        <f>IFERROR('Historical FS'!H6/'Historical FS'!H59,0)</f>
        <v>18.88853069227957</v>
      </c>
      <c r="I27" s="57">
        <f>IFERROR('Historical FS'!I6/'Historical FS'!I59,0)</f>
        <v>30.356074481074479</v>
      </c>
      <c r="J27" s="57">
        <f>IFERROR('Historical FS'!J6/'Historical FS'!J59,0)</f>
        <v>24.524403071421059</v>
      </c>
      <c r="K27" s="57">
        <f>IFERROR('Historical FS'!K6/'Historical FS'!K59,0)</f>
        <v>29.554653130287647</v>
      </c>
      <c r="L27" s="57">
        <f>IFERROR('Historical FS'!L6/'Historical FS'!L59,0)</f>
        <v>30.854275772380586</v>
      </c>
      <c r="M27" s="50"/>
      <c r="N27" s="57">
        <f t="shared" si="2"/>
        <v>37.116358470459978</v>
      </c>
      <c r="O27" s="57">
        <f t="shared" si="1"/>
        <v>30.605175126727531</v>
      </c>
    </row>
    <row r="28" spans="2:15" x14ac:dyDescent="0.3">
      <c r="B28" s="8" t="s">
        <v>131</v>
      </c>
      <c r="C28" s="46">
        <f>IFERROR('Historical FS'!C6/'Historical FS'!C50,0)</f>
        <v>4.7433776464795665</v>
      </c>
      <c r="D28" s="46">
        <f>IFERROR('Historical FS'!D6/'Historical FS'!D50,0)</f>
        <v>3.179758102874227</v>
      </c>
      <c r="E28" s="46">
        <f>IFERROR('Historical FS'!E6/'Historical FS'!E50,0)</f>
        <v>1.5781145970230479</v>
      </c>
      <c r="F28" s="46">
        <f>IFERROR('Historical FS'!F6/'Historical FS'!F50,0)</f>
        <v>1.3472063399196872</v>
      </c>
      <c r="G28" s="46">
        <f>IFERROR('Historical FS'!G6/'Historical FS'!G50,0)</f>
        <v>1.4062225644420776</v>
      </c>
      <c r="H28" s="46">
        <f>IFERROR('Historical FS'!H6/'Historical FS'!H50,0)</f>
        <v>1.8769137792103143</v>
      </c>
      <c r="I28" s="46">
        <f>IFERROR('Historical FS'!I6/'Historical FS'!I50,0)</f>
        <v>1.6633743685812732</v>
      </c>
      <c r="J28" s="46">
        <f>IFERROR('Historical FS'!J6/'Historical FS'!J50,0)</f>
        <v>1.3677459661925726</v>
      </c>
      <c r="K28" s="46">
        <f>IFERROR('Historical FS'!K6/'Historical FS'!K50,0)</f>
        <v>1.7467717055145395</v>
      </c>
      <c r="L28" s="46">
        <f>IFERROR('Historical FS'!L6/'Historical FS'!L50,0)</f>
        <v>1.5753859793007776</v>
      </c>
      <c r="N28" s="46">
        <f t="shared" si="2"/>
        <v>2.048487104953808</v>
      </c>
      <c r="O28" s="46">
        <f t="shared" si="1"/>
        <v>1.6207444828021607</v>
      </c>
    </row>
    <row r="29" spans="2:15" x14ac:dyDescent="0.3">
      <c r="B29" s="8" t="s">
        <v>132</v>
      </c>
      <c r="C29" s="46">
        <f>IFERROR('Historical FS'!C6/'Historical FS'!C60,0)</f>
        <v>7.6431770098730603</v>
      </c>
      <c r="D29" s="46">
        <f>IFERROR('Historical FS'!D6/'Historical FS'!D60,0)</f>
        <v>7.0307241586538458</v>
      </c>
      <c r="E29" s="46">
        <f>IFERROR('Historical FS'!E6/'Historical FS'!E60,0)</f>
        <v>5.8637654347545496</v>
      </c>
      <c r="F29" s="46">
        <f>IFERROR('Historical FS'!F6/'Historical FS'!F60,0)</f>
        <v>6.2093522093522093</v>
      </c>
      <c r="G29" s="46">
        <f>IFERROR('Historical FS'!G6/'Historical FS'!G60,0)</f>
        <v>6.4241004651774416</v>
      </c>
      <c r="H29" s="46">
        <f>IFERROR('Historical FS'!H6/'Historical FS'!H60,0)</f>
        <v>8.41220526635189</v>
      </c>
      <c r="I29" s="46">
        <f>IFERROR('Historical FS'!I6/'Historical FS'!I60,0)</f>
        <v>8.0738129710566557</v>
      </c>
      <c r="J29" s="46">
        <f>IFERROR('Historical FS'!J6/'Historical FS'!J60,0)</f>
        <v>5.7095087667744151</v>
      </c>
      <c r="K29" s="46">
        <f>IFERROR('Historical FS'!K6/'Historical FS'!K60,0)</f>
        <v>6.4825103453394943</v>
      </c>
      <c r="L29" s="46">
        <f>IFERROR('Historical FS'!L6/'Historical FS'!L60,0)</f>
        <v>6.2698917204731162</v>
      </c>
      <c r="N29" s="46">
        <f t="shared" si="2"/>
        <v>6.811904834780667</v>
      </c>
      <c r="O29" s="46">
        <f t="shared" si="1"/>
        <v>6.453305405258468</v>
      </c>
    </row>
    <row r="30" spans="2:15" x14ac:dyDescent="0.3">
      <c r="B30" s="8" t="s">
        <v>133</v>
      </c>
      <c r="C30" s="46">
        <f>IFERROR('Historical FS'!C6/'Historical FS'!C53,0)</f>
        <v>3.065550817794183</v>
      </c>
      <c r="D30" s="46">
        <f>IFERROR('Historical FS'!D6/'Historical FS'!D53,0)</f>
        <v>2.3927955106162675</v>
      </c>
      <c r="E30" s="46">
        <f>IFERROR('Historical FS'!E6/'Historical FS'!E53,0)</f>
        <v>1.4741387702125359</v>
      </c>
      <c r="F30" s="46">
        <f>IFERROR('Historical FS'!F6/'Historical FS'!F53,0)</f>
        <v>1.5310538669997884</v>
      </c>
      <c r="G30" s="46">
        <f>IFERROR('Historical FS'!G6/'Historical FS'!G53,0)</f>
        <v>0.96765911088552437</v>
      </c>
      <c r="H30" s="46">
        <f>IFERROR('Historical FS'!H6/'Historical FS'!H53,0)</f>
        <v>1.4266417989125797</v>
      </c>
      <c r="I30" s="46">
        <f>IFERROR('Historical FS'!I6/'Historical FS'!I53,0)</f>
        <v>1.1201915675724385</v>
      </c>
      <c r="J30" s="46">
        <f>IFERROR('Historical FS'!J6/'Historical FS'!J53,0)</f>
        <v>0.86152444859937405</v>
      </c>
      <c r="K30" s="46">
        <f>IFERROR('Historical FS'!K6/'Historical FS'!K53,0)</f>
        <v>1.1128930006148474</v>
      </c>
      <c r="L30" s="46">
        <f>IFERROR('Historical FS'!L6/'Historical FS'!L53,0)</f>
        <v>0.97560419922070363</v>
      </c>
      <c r="N30" s="46">
        <f t="shared" si="2"/>
        <v>1.4928053091428244</v>
      </c>
      <c r="O30" s="46">
        <f t="shared" si="1"/>
        <v>1.2734166832425091</v>
      </c>
    </row>
    <row r="31" spans="2:15" x14ac:dyDescent="0.3">
      <c r="B31" s="52" t="s">
        <v>134</v>
      </c>
      <c r="C31" s="56">
        <f>IFERROR('Historical FS'!C6/SUM('Historical FS'!C47:C48),0)</f>
        <v>2.1819293662896917</v>
      </c>
      <c r="D31" s="56">
        <f>IFERROR('Historical FS'!D6/SUM('Historical FS'!D47:D48),0)</f>
        <v>1.7133808392715757</v>
      </c>
      <c r="E31" s="56">
        <f>IFERROR('Historical FS'!E6/SUM('Historical FS'!E47:E48),0)</f>
        <v>1.1771796023424139</v>
      </c>
      <c r="F31" s="56">
        <f>IFERROR('Historical FS'!F6/SUM('Historical FS'!F47:F48),0)</f>
        <v>1.1526114012035995</v>
      </c>
      <c r="G31" s="56">
        <f>IFERROR('Historical FS'!G6/SUM('Historical FS'!G47:G48),0)</f>
        <v>1.3315673274140905</v>
      </c>
      <c r="H31" s="56">
        <f>IFERROR('Historical FS'!H6/SUM('Historical FS'!H47:H48),0)</f>
        <v>1.4681461695839964</v>
      </c>
      <c r="I31" s="56">
        <f>IFERROR('Historical FS'!I6/SUM('Historical FS'!I47:I48),0)</f>
        <v>1.3284153297444596</v>
      </c>
      <c r="J31" s="56">
        <f>IFERROR('Historical FS'!J6/SUM('Historical FS'!J47:J48),0)</f>
        <v>0.66598921407882639</v>
      </c>
      <c r="K31" s="56">
        <f>IFERROR('Historical FS'!K6/SUM('Historical FS'!K47:K48),0)</f>
        <v>0.89632513775120748</v>
      </c>
      <c r="L31" s="56">
        <f>IFERROR('Historical FS'!L6/SUM('Historical FS'!L47:L48),0)</f>
        <v>1.0690273310820273</v>
      </c>
      <c r="M31" s="53"/>
      <c r="N31" s="56">
        <f t="shared" si="2"/>
        <v>1.2984571718761888</v>
      </c>
      <c r="O31" s="56">
        <f t="shared" si="1"/>
        <v>1.2527974660434369</v>
      </c>
    </row>
    <row r="32" spans="2:15" x14ac:dyDescent="0.3"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2:15" x14ac:dyDescent="0.3">
      <c r="B33" s="47" t="s">
        <v>138</v>
      </c>
    </row>
    <row r="34" spans="2:15" x14ac:dyDescent="0.3">
      <c r="B34" s="49" t="s">
        <v>135</v>
      </c>
      <c r="C34" s="61">
        <f>IFERROR(365/C27,0)</f>
        <v>7.9235261959628254</v>
      </c>
      <c r="D34" s="61">
        <f t="shared" ref="D34:L34" si="7">IFERROR(365/D27,0)</f>
        <v>5.1819446967187712</v>
      </c>
      <c r="E34" s="61">
        <f t="shared" si="7"/>
        <v>5.9788211297109504</v>
      </c>
      <c r="F34" s="61">
        <f t="shared" si="7"/>
        <v>9.8192654151615049</v>
      </c>
      <c r="G34" s="61">
        <f t="shared" si="7"/>
        <v>16.395081661007669</v>
      </c>
      <c r="H34" s="61">
        <f t="shared" si="7"/>
        <v>19.323895857563382</v>
      </c>
      <c r="I34" s="61">
        <f t="shared" si="7"/>
        <v>12.023952577516555</v>
      </c>
      <c r="J34" s="61">
        <f t="shared" si="7"/>
        <v>14.883134930421374</v>
      </c>
      <c r="K34" s="61">
        <f t="shared" si="7"/>
        <v>12.350001145029427</v>
      </c>
      <c r="L34" s="61">
        <f t="shared" si="7"/>
        <v>11.829802867281437</v>
      </c>
      <c r="M34" s="50"/>
      <c r="N34" s="61">
        <f t="shared" ref="N34:N41" si="8">IFERROR(AVERAGE(C34:L34),0)</f>
        <v>11.57094264763739</v>
      </c>
      <c r="O34" s="61">
        <f t="shared" ref="O34:O37" si="9">IFERROR(MEDIAN(C34:L34),0)</f>
        <v>11.926877722398995</v>
      </c>
    </row>
    <row r="35" spans="2:15" x14ac:dyDescent="0.3">
      <c r="B35" s="8" t="s">
        <v>136</v>
      </c>
      <c r="C35" s="60">
        <f>IFERROR(365/C28,0)</f>
        <v>76.949386534908342</v>
      </c>
      <c r="D35" s="60">
        <f t="shared" ref="D35:L35" si="10">IFERROR(365/D28,0)</f>
        <v>114.78860598549038</v>
      </c>
      <c r="E35" s="60">
        <f t="shared" si="10"/>
        <v>231.28865336429638</v>
      </c>
      <c r="F35" s="60">
        <f t="shared" si="10"/>
        <v>270.93102903728857</v>
      </c>
      <c r="G35" s="60">
        <f t="shared" si="10"/>
        <v>259.56061951318117</v>
      </c>
      <c r="H35" s="60">
        <f t="shared" si="10"/>
        <v>194.46817645164751</v>
      </c>
      <c r="I35" s="60">
        <f t="shared" si="10"/>
        <v>219.43346422448252</v>
      </c>
      <c r="J35" s="60">
        <f t="shared" si="10"/>
        <v>266.86242110884035</v>
      </c>
      <c r="K35" s="60">
        <f t="shared" si="10"/>
        <v>208.95689966107128</v>
      </c>
      <c r="L35" s="60">
        <f t="shared" si="10"/>
        <v>231.68925253606886</v>
      </c>
      <c r="N35" s="60">
        <f t="shared" si="8"/>
        <v>207.49285084172752</v>
      </c>
      <c r="O35" s="60">
        <f t="shared" si="9"/>
        <v>225.36105879438946</v>
      </c>
    </row>
    <row r="36" spans="2:15" x14ac:dyDescent="0.3">
      <c r="B36" s="8" t="s">
        <v>137</v>
      </c>
      <c r="C36" s="60">
        <f>IFERROR(365/C29,0)</f>
        <v>47.755010714590533</v>
      </c>
      <c r="D36" s="60">
        <f t="shared" ref="D36:L36" si="11">IFERROR(365/D29,0)</f>
        <v>51.914993642686959</v>
      </c>
      <c r="E36" s="60">
        <f t="shared" si="11"/>
        <v>62.246691833313157</v>
      </c>
      <c r="F36" s="60">
        <f t="shared" si="11"/>
        <v>58.782299295288105</v>
      </c>
      <c r="G36" s="60">
        <f t="shared" si="11"/>
        <v>56.817293250397235</v>
      </c>
      <c r="H36" s="60">
        <f t="shared" si="11"/>
        <v>43.389335904577742</v>
      </c>
      <c r="I36" s="60">
        <f t="shared" si="11"/>
        <v>45.207883971113446</v>
      </c>
      <c r="J36" s="60">
        <f t="shared" si="11"/>
        <v>63.928441992078177</v>
      </c>
      <c r="K36" s="60">
        <f t="shared" si="11"/>
        <v>56.305347859939999</v>
      </c>
      <c r="L36" s="60">
        <f t="shared" si="11"/>
        <v>58.214721445374124</v>
      </c>
      <c r="N36" s="60">
        <f t="shared" si="8"/>
        <v>54.456201990935952</v>
      </c>
      <c r="O36" s="60">
        <f t="shared" si="9"/>
        <v>56.561320555168621</v>
      </c>
    </row>
    <row r="37" spans="2:15" x14ac:dyDescent="0.3">
      <c r="B37" s="52" t="s">
        <v>142</v>
      </c>
      <c r="C37" s="62">
        <f>IFERROR(SUM(C34,C36)-C35,0)</f>
        <v>-21.27084962435498</v>
      </c>
      <c r="D37" s="62">
        <f t="shared" ref="D37:L37" si="12">IFERROR(SUM(D34,D36)-D35,0)</f>
        <v>-57.691667646084646</v>
      </c>
      <c r="E37" s="62">
        <f t="shared" si="12"/>
        <v>-163.06314040127228</v>
      </c>
      <c r="F37" s="62">
        <f t="shared" si="12"/>
        <v>-202.32946432683894</v>
      </c>
      <c r="G37" s="62">
        <f t="shared" si="12"/>
        <v>-186.34824460177626</v>
      </c>
      <c r="H37" s="62">
        <f t="shared" si="12"/>
        <v>-131.75494468950637</v>
      </c>
      <c r="I37" s="62">
        <f t="shared" si="12"/>
        <v>-162.20162767585254</v>
      </c>
      <c r="J37" s="62">
        <f t="shared" si="12"/>
        <v>-188.05084418634078</v>
      </c>
      <c r="K37" s="62">
        <f t="shared" si="12"/>
        <v>-140.30155065610185</v>
      </c>
      <c r="L37" s="62">
        <f t="shared" si="12"/>
        <v>-161.6447282234133</v>
      </c>
      <c r="M37" s="53"/>
      <c r="N37" s="62">
        <f t="shared" si="8"/>
        <v>-141.46570620315418</v>
      </c>
      <c r="O37" s="62">
        <f t="shared" si="9"/>
        <v>-161.92317794963293</v>
      </c>
    </row>
    <row r="39" spans="2:15" x14ac:dyDescent="0.3">
      <c r="B39" s="49" t="s">
        <v>139</v>
      </c>
      <c r="C39" s="51">
        <f>IFERROR('Historical FS'!C104/'Historical FS'!C6,0)</f>
        <v>9.9789860237451011E-2</v>
      </c>
      <c r="D39" s="51">
        <f>IFERROR('Historical FS'!D104/'Historical FS'!D6,0)</f>
        <v>9.1817764149028244E-2</v>
      </c>
      <c r="E39" s="51">
        <f>IFERROR('Historical FS'!E104/'Historical FS'!E6,0)</f>
        <v>0.1398986730647179</v>
      </c>
      <c r="F39" s="51">
        <f>IFERROR('Historical FS'!F104/'Historical FS'!F6,0)</f>
        <v>0.16301808826335565</v>
      </c>
      <c r="G39" s="51">
        <f>IFERROR('Historical FS'!G104/'Historical FS'!G6,0)</f>
        <v>0.1828423608641252</v>
      </c>
      <c r="H39" s="51">
        <f>IFERROR('Historical FS'!H104/'Historical FS'!H6,0)</f>
        <v>7.4508610208379886E-2</v>
      </c>
      <c r="I39" s="51">
        <f>IFERROR('Historical FS'!I104/'Historical FS'!I6,0)</f>
        <v>0.15900844507683362</v>
      </c>
      <c r="J39" s="51">
        <f>IFERROR('Historical FS'!J104/'Historical FS'!J6,0)</f>
        <v>5.7811699159566549E-2</v>
      </c>
      <c r="K39" s="51">
        <f>IFERROR('Historical FS'!K104/'Historical FS'!K6,0)</f>
        <v>0.15837760780452056</v>
      </c>
      <c r="L39" s="51">
        <f>IFERROR('Historical FS'!L104/'Historical FS'!L6,0)</f>
        <v>0.13104057140578809</v>
      </c>
      <c r="M39" s="50"/>
      <c r="N39" s="51">
        <f t="shared" si="8"/>
        <v>0.12581136802337667</v>
      </c>
      <c r="O39" s="51">
        <f t="shared" ref="O39:O41" si="13">IFERROR(MEDIAN(C39:L39),0)</f>
        <v>0.135469622235253</v>
      </c>
    </row>
    <row r="40" spans="2:15" x14ac:dyDescent="0.3">
      <c r="B40" s="8" t="s">
        <v>140</v>
      </c>
      <c r="C40" s="48">
        <f>IFERROR('Historical FS'!C104/'Historical FS'!C64,0)</f>
        <v>0.10087841004749989</v>
      </c>
      <c r="D40" s="48">
        <f>IFERROR('Historical FS'!D104/'Historical FS'!D64,0)</f>
        <v>6.8136677727429498E-2</v>
      </c>
      <c r="E40" s="48">
        <f>IFERROR('Historical FS'!E104/'Historical FS'!E64,0)</f>
        <v>6.3663090132337896E-2</v>
      </c>
      <c r="F40" s="48">
        <f>IFERROR('Historical FS'!F104/'Historical FS'!F64,0)</f>
        <v>7.0104498855407885E-2</v>
      </c>
      <c r="G40" s="48">
        <f>IFERROR('Historical FS'!G104/'Historical FS'!G64,0)</f>
        <v>8.8082556673277676E-2</v>
      </c>
      <c r="H40" s="48">
        <f>IFERROR('Historical FS'!H104/'Historical FS'!H64,0)</f>
        <v>4.2446598438298767E-2</v>
      </c>
      <c r="I40" s="48">
        <f>IFERROR('Historical FS'!I104/'Historical FS'!I64,0)</f>
        <v>8.1578483510530819E-2</v>
      </c>
      <c r="J40" s="48">
        <f>IFERROR('Historical FS'!J104/'Historical FS'!J64,0)</f>
        <v>2.0421721657645647E-2</v>
      </c>
      <c r="K40" s="48">
        <f>IFERROR('Historical FS'!K104/'Historical FS'!K64,0)</f>
        <v>7.3837165075649497E-2</v>
      </c>
      <c r="L40" s="48">
        <f>IFERROR('Historical FS'!L104/'Historical FS'!L64,0)</f>
        <v>6.7132534114266312E-2</v>
      </c>
      <c r="N40" s="48">
        <f t="shared" si="8"/>
        <v>6.7628173623234394E-2</v>
      </c>
      <c r="O40" s="48">
        <f t="shared" si="13"/>
        <v>6.9120588291418691E-2</v>
      </c>
    </row>
    <row r="41" spans="2:15" x14ac:dyDescent="0.3">
      <c r="B41" s="52" t="s">
        <v>141</v>
      </c>
      <c r="C41" s="54">
        <f>IFERROR('Historical FS'!C104/'Historical FS'!C49,0)</f>
        <v>0.31176627438545412</v>
      </c>
      <c r="D41" s="54">
        <f>IFERROR('Historical FS'!D104/'Historical FS'!D49,0)</f>
        <v>0.20430190608079596</v>
      </c>
      <c r="E41" s="54">
        <f>IFERROR('Historical FS'!E104/'Historical FS'!E49,0)</f>
        <v>0.19584621547500436</v>
      </c>
      <c r="F41" s="54">
        <f>IFERROR('Historical FS'!F104/'Historical FS'!F49,0)</f>
        <v>0.22784228072192206</v>
      </c>
      <c r="G41" s="54">
        <f>IFERROR('Historical FS'!G104/'Historical FS'!G49,0)</f>
        <v>0.29794073623161821</v>
      </c>
      <c r="H41" s="54">
        <f>IFERROR('Historical FS'!H104/'Historical FS'!H49,0)</f>
        <v>0.13761479815672994</v>
      </c>
      <c r="I41" s="54">
        <f>IFERROR('Historical FS'!I104/'Historical FS'!I49,0)</f>
        <v>0.2671590643505391</v>
      </c>
      <c r="J41" s="54">
        <f>IFERROR('Historical FS'!J104/'Historical FS'!J49,0)</f>
        <v>9.6636817917852613E-2</v>
      </c>
      <c r="K41" s="54">
        <f>IFERROR('Historical FS'!K104/'Historical FS'!K49,0)</f>
        <v>0.34670602021569252</v>
      </c>
      <c r="L41" s="54">
        <f>IFERROR('Historical FS'!L104/'Historical FS'!L49,0)</f>
        <v>0.34324180775451013</v>
      </c>
      <c r="M41" s="53"/>
      <c r="N41" s="54">
        <f t="shared" si="8"/>
        <v>0.24290559212901189</v>
      </c>
      <c r="O41" s="54">
        <f t="shared" si="13"/>
        <v>0.24750067253623059</v>
      </c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D2B7EFEC-7A17-42C4-8E0A-064E71B28D53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 xr2:uid="{FBE68D59-851C-4329-885F-1B380244643D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935E-1B75-443C-A002-D154F8373BFB}">
  <dimension ref="B4:AG24"/>
  <sheetViews>
    <sheetView showGridLines="0" workbookViewId="0">
      <selection activeCell="A8" sqref="A8"/>
    </sheetView>
  </sheetViews>
  <sheetFormatPr defaultRowHeight="14.4" x14ac:dyDescent="0.3"/>
  <cols>
    <col min="1" max="1" width="1.88671875" customWidth="1"/>
    <col min="2" max="2" width="10" customWidth="1"/>
    <col min="3" max="3" width="10.77734375" customWidth="1"/>
    <col min="4" max="4" width="12.6640625" customWidth="1"/>
    <col min="5" max="5" width="11.6640625" bestFit="1" customWidth="1"/>
    <col min="6" max="6" width="1.88671875" customWidth="1"/>
    <col min="7" max="7" width="9.88671875" customWidth="1"/>
    <col min="8" max="8" width="8.6640625" customWidth="1"/>
    <col min="9" max="9" width="12.77734375" customWidth="1"/>
    <col min="10" max="10" width="13.6640625" bestFit="1" customWidth="1"/>
    <col min="11" max="11" width="1.88671875" customWidth="1"/>
    <col min="12" max="12" width="7.5546875" customWidth="1"/>
    <col min="13" max="13" width="10.5546875" customWidth="1"/>
    <col min="14" max="14" width="10.77734375" customWidth="1"/>
    <col min="15" max="15" width="13.6640625" bestFit="1" customWidth="1"/>
    <col min="24" max="24" width="2" customWidth="1"/>
    <col min="27" max="27" width="9.6640625" bestFit="1" customWidth="1"/>
    <col min="28" max="28" width="12" customWidth="1"/>
    <col min="29" max="29" width="11.6640625" bestFit="1" customWidth="1"/>
    <col min="33" max="33" width="10.33203125" customWidth="1"/>
    <col min="34" max="34" width="9.44140625" customWidth="1"/>
    <col min="35" max="35" width="11.77734375" customWidth="1"/>
  </cols>
  <sheetData>
    <row r="4" spans="2:15" x14ac:dyDescent="0.3">
      <c r="B4" s="75" t="str">
        <f>'Data Sheet'!B1&amp;" - "&amp;'Data Sheet'!A17 &amp; " Forecasting"</f>
        <v>RELIANCE INDUSTRIES LTD - Sales Forecasting</v>
      </c>
      <c r="C4" s="75"/>
      <c r="D4" s="75"/>
      <c r="E4" s="75"/>
      <c r="G4" s="75" t="str">
        <f>'Data Sheet'!B1&amp; " - "&amp;'Historical FS'!B18 &amp; " Forecasting"</f>
        <v>RELIANCE INDUSTRIES LTD - EBITDA Forecasting</v>
      </c>
      <c r="H4" s="75"/>
      <c r="I4" s="75"/>
      <c r="J4" s="75"/>
      <c r="L4" s="75" t="str">
        <f>'Data Sheet'!B1&amp; " - "&amp;'Historical FS'!B38 &amp; " Forecasting"</f>
        <v>RELIANCE INDUSTRIES LTD - Earnings Per Share Forecasting</v>
      </c>
      <c r="M4" s="75"/>
      <c r="N4" s="75"/>
      <c r="O4" s="75"/>
    </row>
    <row r="5" spans="2:15" x14ac:dyDescent="0.3">
      <c r="B5" s="64" t="s">
        <v>147</v>
      </c>
      <c r="C5" s="64" t="s">
        <v>148</v>
      </c>
      <c r="D5" s="64" t="s">
        <v>0</v>
      </c>
      <c r="E5" s="64" t="s">
        <v>9</v>
      </c>
      <c r="G5" s="64" t="s">
        <v>147</v>
      </c>
      <c r="H5" s="64" t="s">
        <v>148</v>
      </c>
      <c r="I5" s="64" t="s">
        <v>64</v>
      </c>
      <c r="J5" s="64" t="s">
        <v>116</v>
      </c>
      <c r="L5" s="64" t="s">
        <v>147</v>
      </c>
      <c r="M5" s="64" t="s">
        <v>148</v>
      </c>
      <c r="N5" s="64" t="s">
        <v>149</v>
      </c>
      <c r="O5" s="64" t="s">
        <v>150</v>
      </c>
    </row>
    <row r="6" spans="2:15" x14ac:dyDescent="0.3">
      <c r="B6" s="8">
        <v>1</v>
      </c>
      <c r="C6" s="65">
        <f>'Data Sheet'!$B$16</f>
        <v>41729</v>
      </c>
      <c r="D6" s="68">
        <f t="array" ref="D6:D15">TRANSPOSE('Data Sheet'!B17:K17)</f>
        <v>433521</v>
      </c>
      <c r="E6" s="13" t="s">
        <v>73</v>
      </c>
      <c r="G6" s="8">
        <v>1</v>
      </c>
      <c r="H6" s="65">
        <f>'Data Sheet'!$B$16</f>
        <v>41729</v>
      </c>
      <c r="I6" s="68">
        <f t="array" ref="I6:I15">TRANSPOSE('Historical FS'!C18:L18)</f>
        <v>34935</v>
      </c>
      <c r="J6" s="13" t="s">
        <v>73</v>
      </c>
      <c r="L6" s="8">
        <v>1</v>
      </c>
      <c r="M6" s="65">
        <f>'Data Sheet'!$B$16</f>
        <v>41729</v>
      </c>
      <c r="N6" s="68">
        <f t="array" ref="N6:N15">TRANSPOSE('Historical FS'!C38:L38)</f>
        <v>19.845390729245228</v>
      </c>
      <c r="O6" s="13" t="s">
        <v>73</v>
      </c>
    </row>
    <row r="7" spans="2:15" x14ac:dyDescent="0.3">
      <c r="B7" s="8">
        <f t="shared" ref="B7:B20" si="0">B6+1</f>
        <v>2</v>
      </c>
      <c r="C7" s="65">
        <f t="shared" ref="C7:C20" si="1">C6+365</f>
        <v>42094</v>
      </c>
      <c r="D7" s="68">
        <v>374372</v>
      </c>
      <c r="E7" s="67">
        <f>D7/D6-1</f>
        <v>-0.13643860389692775</v>
      </c>
      <c r="G7" s="8">
        <f t="shared" ref="G7:G20" si="2">G6+1</f>
        <v>2</v>
      </c>
      <c r="H7" s="65">
        <f t="shared" ref="H7:H20" si="3">H6+365</f>
        <v>42094</v>
      </c>
      <c r="I7" s="68">
        <v>37449</v>
      </c>
      <c r="J7" s="67">
        <f>I7/I6-1</f>
        <v>7.1962215543151631E-2</v>
      </c>
      <c r="L7" s="8">
        <f t="shared" ref="L7:L20" si="4">L6+1</f>
        <v>2</v>
      </c>
      <c r="M7" s="65">
        <f t="shared" ref="M7:M20" si="5">M6+365</f>
        <v>42094</v>
      </c>
      <c r="N7" s="68">
        <v>21.892565335805759</v>
      </c>
      <c r="O7" s="67">
        <f>N7/N6-1</f>
        <v>0.10315617538049815</v>
      </c>
    </row>
    <row r="8" spans="2:15" x14ac:dyDescent="0.3">
      <c r="B8" s="8">
        <f t="shared" si="0"/>
        <v>3</v>
      </c>
      <c r="C8" s="65">
        <f t="shared" si="1"/>
        <v>42459</v>
      </c>
      <c r="D8" s="68">
        <v>272583</v>
      </c>
      <c r="E8" s="67">
        <f t="shared" ref="E8:E20" si="6">D8/D7-1</f>
        <v>-0.27189266291282466</v>
      </c>
      <c r="G8" s="8">
        <f t="shared" si="2"/>
        <v>3</v>
      </c>
      <c r="H8" s="65">
        <f t="shared" si="3"/>
        <v>42459</v>
      </c>
      <c r="I8" s="68">
        <v>41781</v>
      </c>
      <c r="J8" s="67">
        <f t="shared" ref="J8:J20" si="7">I8/I7-1</f>
        <v>0.11567732115677321</v>
      </c>
      <c r="L8" s="8">
        <f t="shared" si="4"/>
        <v>3</v>
      </c>
      <c r="M8" s="65">
        <f t="shared" si="5"/>
        <v>42459</v>
      </c>
      <c r="N8" s="68">
        <v>25.530899201481311</v>
      </c>
      <c r="O8" s="67">
        <f t="shared" ref="O8:O20" si="8">N8/N7-1</f>
        <v>0.1661903851772446</v>
      </c>
    </row>
    <row r="9" spans="2:15" x14ac:dyDescent="0.3">
      <c r="B9" s="8">
        <f t="shared" si="0"/>
        <v>4</v>
      </c>
      <c r="C9" s="65">
        <f t="shared" si="1"/>
        <v>42824</v>
      </c>
      <c r="D9" s="68">
        <v>303954</v>
      </c>
      <c r="E9" s="67">
        <f t="shared" si="6"/>
        <v>0.11508788148930793</v>
      </c>
      <c r="G9" s="8">
        <f t="shared" si="2"/>
        <v>4</v>
      </c>
      <c r="H9" s="65">
        <f t="shared" si="3"/>
        <v>42824</v>
      </c>
      <c r="I9" s="68">
        <v>46307</v>
      </c>
      <c r="J9" s="67">
        <f t="shared" si="7"/>
        <v>0.10832675139417436</v>
      </c>
      <c r="L9" s="8">
        <f t="shared" si="4"/>
        <v>4</v>
      </c>
      <c r="M9" s="65">
        <f t="shared" si="5"/>
        <v>42824</v>
      </c>
      <c r="N9" s="68">
        <v>29.71511778783772</v>
      </c>
      <c r="O9" s="67">
        <f t="shared" si="8"/>
        <v>0.16388841432242374</v>
      </c>
    </row>
    <row r="10" spans="2:15" x14ac:dyDescent="0.3">
      <c r="B10" s="8">
        <f t="shared" si="0"/>
        <v>5</v>
      </c>
      <c r="C10" s="65">
        <f t="shared" si="1"/>
        <v>43189</v>
      </c>
      <c r="D10" s="68">
        <v>390823</v>
      </c>
      <c r="E10" s="67">
        <f t="shared" si="6"/>
        <v>0.28579653500200686</v>
      </c>
      <c r="G10" s="8">
        <f t="shared" si="2"/>
        <v>5</v>
      </c>
      <c r="H10" s="65">
        <f t="shared" si="3"/>
        <v>43189</v>
      </c>
      <c r="I10" s="68">
        <v>64315</v>
      </c>
      <c r="J10" s="67">
        <f t="shared" si="7"/>
        <v>0.38888289027576817</v>
      </c>
      <c r="L10" s="8">
        <f t="shared" si="4"/>
        <v>5</v>
      </c>
      <c r="M10" s="65">
        <f t="shared" si="5"/>
        <v>43189</v>
      </c>
      <c r="N10" s="68">
        <v>38.790883528192985</v>
      </c>
      <c r="O10" s="67">
        <f t="shared" si="8"/>
        <v>0.30542587127384491</v>
      </c>
    </row>
    <row r="11" spans="2:15" x14ac:dyDescent="0.3">
      <c r="B11" s="8">
        <f t="shared" si="0"/>
        <v>6</v>
      </c>
      <c r="C11" s="65">
        <f t="shared" si="1"/>
        <v>43554</v>
      </c>
      <c r="D11" s="68">
        <v>568337</v>
      </c>
      <c r="E11" s="67">
        <f t="shared" si="6"/>
        <v>0.45420561225925793</v>
      </c>
      <c r="G11" s="8">
        <f t="shared" si="2"/>
        <v>6</v>
      </c>
      <c r="H11" s="65">
        <f t="shared" si="3"/>
        <v>43554</v>
      </c>
      <c r="I11" s="68">
        <v>84250</v>
      </c>
      <c r="J11" s="67">
        <f t="shared" si="7"/>
        <v>0.3099587965482391</v>
      </c>
      <c r="L11" s="8">
        <f t="shared" si="4"/>
        <v>6</v>
      </c>
      <c r="M11" s="65">
        <f t="shared" si="5"/>
        <v>43554</v>
      </c>
      <c r="N11" s="68">
        <v>46.486622395101534</v>
      </c>
      <c r="O11" s="67">
        <f t="shared" si="8"/>
        <v>0.19839039915951728</v>
      </c>
    </row>
    <row r="12" spans="2:15" x14ac:dyDescent="0.3">
      <c r="B12" s="8">
        <f t="shared" si="0"/>
        <v>7</v>
      </c>
      <c r="C12" s="65">
        <f t="shared" si="1"/>
        <v>43919</v>
      </c>
      <c r="D12" s="68">
        <v>596679</v>
      </c>
      <c r="E12" s="67">
        <f t="shared" si="6"/>
        <v>4.9868299969912266E-2</v>
      </c>
      <c r="G12" s="8">
        <f t="shared" si="2"/>
        <v>7</v>
      </c>
      <c r="H12" s="65">
        <f t="shared" si="3"/>
        <v>43919</v>
      </c>
      <c r="I12" s="68">
        <v>89266</v>
      </c>
      <c r="J12" s="67">
        <f t="shared" si="7"/>
        <v>5.9537091988130619E-2</v>
      </c>
      <c r="L12" s="8">
        <f t="shared" si="4"/>
        <v>7</v>
      </c>
      <c r="M12" s="65">
        <f t="shared" si="5"/>
        <v>43919</v>
      </c>
      <c r="N12" s="68">
        <v>46.303553734896994</v>
      </c>
      <c r="O12" s="67">
        <f t="shared" si="8"/>
        <v>-3.9380933862777079E-3</v>
      </c>
    </row>
    <row r="13" spans="2:15" x14ac:dyDescent="0.3">
      <c r="B13" s="8">
        <f t="shared" si="0"/>
        <v>8</v>
      </c>
      <c r="C13" s="65">
        <f t="shared" si="1"/>
        <v>44284</v>
      </c>
      <c r="D13" s="68">
        <v>466307</v>
      </c>
      <c r="E13" s="67">
        <f t="shared" si="6"/>
        <v>-0.21849604226057895</v>
      </c>
      <c r="G13" s="8">
        <f t="shared" si="2"/>
        <v>8</v>
      </c>
      <c r="H13" s="65">
        <f t="shared" si="3"/>
        <v>44284</v>
      </c>
      <c r="I13" s="68">
        <v>80790</v>
      </c>
      <c r="J13" s="67">
        <f t="shared" si="7"/>
        <v>-9.4952165438128788E-2</v>
      </c>
      <c r="L13" s="8">
        <f t="shared" si="4"/>
        <v>8</v>
      </c>
      <c r="M13" s="65">
        <f t="shared" si="5"/>
        <v>44284</v>
      </c>
      <c r="N13" s="68">
        <v>49.384799823327121</v>
      </c>
      <c r="O13" s="67">
        <f t="shared" si="8"/>
        <v>6.6544483951950451E-2</v>
      </c>
    </row>
    <row r="14" spans="2:15" x14ac:dyDescent="0.3">
      <c r="B14" s="8">
        <f t="shared" si="0"/>
        <v>9</v>
      </c>
      <c r="C14" s="65">
        <f t="shared" si="1"/>
        <v>44649</v>
      </c>
      <c r="D14" s="68">
        <v>698672</v>
      </c>
      <c r="E14" s="67">
        <f t="shared" si="6"/>
        <v>0.49830905390654645</v>
      </c>
      <c r="G14" s="8">
        <f t="shared" si="2"/>
        <v>9</v>
      </c>
      <c r="H14" s="65">
        <f t="shared" si="3"/>
        <v>44649</v>
      </c>
      <c r="I14" s="68">
        <v>110595</v>
      </c>
      <c r="J14" s="67">
        <f t="shared" si="7"/>
        <v>0.36891942072038608</v>
      </c>
      <c r="L14" s="8">
        <f t="shared" si="4"/>
        <v>9</v>
      </c>
      <c r="M14" s="65">
        <f t="shared" si="5"/>
        <v>44649</v>
      </c>
      <c r="N14" s="68">
        <v>73.788230424692159</v>
      </c>
      <c r="O14" s="67">
        <f t="shared" si="8"/>
        <v>0.49414861837382551</v>
      </c>
    </row>
    <row r="15" spans="2:15" x14ac:dyDescent="0.3">
      <c r="B15" s="8">
        <f t="shared" si="0"/>
        <v>10</v>
      </c>
      <c r="C15" s="65">
        <f t="shared" si="1"/>
        <v>45014</v>
      </c>
      <c r="D15" s="68">
        <v>877835</v>
      </c>
      <c r="E15" s="67">
        <f t="shared" si="6"/>
        <v>0.25643363409439623</v>
      </c>
      <c r="G15" s="8">
        <f t="shared" si="2"/>
        <v>10</v>
      </c>
      <c r="H15" s="65">
        <f t="shared" si="3"/>
        <v>45014</v>
      </c>
      <c r="I15" s="68">
        <v>142162</v>
      </c>
      <c r="J15" s="67">
        <f t="shared" si="7"/>
        <v>0.28542881685428823</v>
      </c>
      <c r="L15" s="8">
        <f t="shared" si="4"/>
        <v>10</v>
      </c>
      <c r="M15" s="65">
        <f t="shared" si="5"/>
        <v>45014</v>
      </c>
      <c r="N15" s="68">
        <v>91.509991722833163</v>
      </c>
      <c r="O15" s="67">
        <f t="shared" si="8"/>
        <v>0.24017056915638779</v>
      </c>
    </row>
    <row r="16" spans="2:15" x14ac:dyDescent="0.3">
      <c r="B16" s="69">
        <f t="shared" si="0"/>
        <v>11</v>
      </c>
      <c r="C16" s="70">
        <f t="shared" si="1"/>
        <v>45379</v>
      </c>
      <c r="D16" s="71">
        <f>FORECAST(B16,$D$6:$D$15,$B$6:$B$15)</f>
        <v>774749.46666666667</v>
      </c>
      <c r="E16" s="72">
        <f t="shared" si="6"/>
        <v>-0.11743155984135212</v>
      </c>
      <c r="G16" s="69">
        <f t="shared" si="2"/>
        <v>11</v>
      </c>
      <c r="H16" s="70">
        <f t="shared" si="3"/>
        <v>45379</v>
      </c>
      <c r="I16" s="71">
        <f>FORECAST(G16,$I$6:$I$15,$G$6:$G$15)</f>
        <v>133882.4</v>
      </c>
      <c r="J16" s="72">
        <f t="shared" si="7"/>
        <v>-5.8240598753534711E-2</v>
      </c>
      <c r="L16" s="69">
        <f t="shared" si="4"/>
        <v>11</v>
      </c>
      <c r="M16" s="70">
        <f t="shared" si="5"/>
        <v>45379</v>
      </c>
      <c r="N16" s="71">
        <f>FORECAST(L16,$N$6:$N$15,$L$6:$L$15)</f>
        <v>83.824192614401781</v>
      </c>
      <c r="O16" s="72">
        <f t="shared" si="8"/>
        <v>-8.3988632975842137E-2</v>
      </c>
    </row>
    <row r="17" spans="2:33" x14ac:dyDescent="0.3">
      <c r="B17" s="69">
        <f t="shared" si="0"/>
        <v>12</v>
      </c>
      <c r="C17" s="70">
        <f t="shared" si="1"/>
        <v>45744</v>
      </c>
      <c r="D17" s="71">
        <f>FORECAST(B17,$D$6:$D$15,$B$6:$B$15)</f>
        <v>825011.49696969695</v>
      </c>
      <c r="E17" s="72">
        <f t="shared" si="6"/>
        <v>6.4875204779786477E-2</v>
      </c>
      <c r="G17" s="69">
        <f t="shared" si="2"/>
        <v>12</v>
      </c>
      <c r="H17" s="70">
        <f t="shared" si="3"/>
        <v>45744</v>
      </c>
      <c r="I17" s="71">
        <f t="shared" ref="I17:I20" si="9">FORECAST(G17,$I$6:$I$15,$G$6:$G$15)</f>
        <v>144918.29090909092</v>
      </c>
      <c r="J17" s="72">
        <f t="shared" si="7"/>
        <v>8.2429736164655987E-2</v>
      </c>
      <c r="L17" s="69">
        <f t="shared" si="4"/>
        <v>12</v>
      </c>
      <c r="M17" s="70">
        <f t="shared" si="5"/>
        <v>45744</v>
      </c>
      <c r="N17" s="71">
        <f t="shared" ref="N17:N20" si="10">FORECAST(L17,$N$6:$N$15,$L$6:$L$15)</f>
        <v>91.005899368230942</v>
      </c>
      <c r="O17" s="72">
        <f t="shared" si="8"/>
        <v>8.5675823766840242E-2</v>
      </c>
    </row>
    <row r="18" spans="2:33" x14ac:dyDescent="0.3">
      <c r="B18" s="69">
        <f t="shared" si="0"/>
        <v>13</v>
      </c>
      <c r="C18" s="70">
        <f t="shared" si="1"/>
        <v>46109</v>
      </c>
      <c r="D18" s="71">
        <f>FORECAST(B18,$D$6:$D$15,$B$6:$B$15)</f>
        <v>875273.52727272722</v>
      </c>
      <c r="E18" s="72">
        <f t="shared" si="6"/>
        <v>6.0922824091112604E-2</v>
      </c>
      <c r="G18" s="69">
        <f t="shared" si="2"/>
        <v>13</v>
      </c>
      <c r="H18" s="70">
        <f t="shared" si="3"/>
        <v>46109</v>
      </c>
      <c r="I18" s="71">
        <f t="shared" si="9"/>
        <v>155954.18181818182</v>
      </c>
      <c r="J18" s="72">
        <f t="shared" si="7"/>
        <v>7.6152505248725744E-2</v>
      </c>
      <c r="L18" s="69">
        <f t="shared" si="4"/>
        <v>13</v>
      </c>
      <c r="M18" s="70">
        <f t="shared" si="5"/>
        <v>46109</v>
      </c>
      <c r="N18" s="71">
        <f t="shared" si="10"/>
        <v>98.187606122060103</v>
      </c>
      <c r="O18" s="72">
        <f t="shared" si="8"/>
        <v>7.8914738535469153E-2</v>
      </c>
    </row>
    <row r="19" spans="2:33" x14ac:dyDescent="0.3">
      <c r="B19" s="69">
        <f t="shared" si="0"/>
        <v>14</v>
      </c>
      <c r="C19" s="70">
        <f t="shared" si="1"/>
        <v>46474</v>
      </c>
      <c r="D19" s="71">
        <f>FORECAST(B19,$D$6:$D$15,$B$6:$B$15)</f>
        <v>925535.55757575762</v>
      </c>
      <c r="E19" s="72">
        <f t="shared" si="6"/>
        <v>5.7424369339310832E-2</v>
      </c>
      <c r="G19" s="69">
        <f t="shared" si="2"/>
        <v>14</v>
      </c>
      <c r="H19" s="70">
        <f t="shared" si="3"/>
        <v>46474</v>
      </c>
      <c r="I19" s="71">
        <f t="shared" si="9"/>
        <v>166990.07272727272</v>
      </c>
      <c r="J19" s="72">
        <f t="shared" si="7"/>
        <v>7.076367417936269E-2</v>
      </c>
      <c r="L19" s="69">
        <f t="shared" si="4"/>
        <v>14</v>
      </c>
      <c r="M19" s="70">
        <f t="shared" si="5"/>
        <v>46474</v>
      </c>
      <c r="N19" s="71">
        <f t="shared" si="10"/>
        <v>105.36931287588926</v>
      </c>
      <c r="O19" s="72">
        <f t="shared" si="8"/>
        <v>7.3142701380267461E-2</v>
      </c>
    </row>
    <row r="20" spans="2:33" x14ac:dyDescent="0.3">
      <c r="B20" s="69">
        <f t="shared" si="0"/>
        <v>15</v>
      </c>
      <c r="C20" s="70">
        <f t="shared" si="1"/>
        <v>46839</v>
      </c>
      <c r="D20" s="71">
        <f>FORECAST(B20,$D$6:$D$15,$B$6:$B$15)</f>
        <v>975797.58787878789</v>
      </c>
      <c r="E20" s="72">
        <f t="shared" si="6"/>
        <v>5.4305887971155764E-2</v>
      </c>
      <c r="G20" s="69">
        <f t="shared" si="2"/>
        <v>15</v>
      </c>
      <c r="H20" s="70">
        <f t="shared" si="3"/>
        <v>46839</v>
      </c>
      <c r="I20" s="71">
        <f t="shared" si="9"/>
        <v>178025.96363636365</v>
      </c>
      <c r="J20" s="72">
        <f t="shared" si="7"/>
        <v>6.6087107627737174E-2</v>
      </c>
      <c r="L20" s="69">
        <f t="shared" si="4"/>
        <v>15</v>
      </c>
      <c r="M20" s="70">
        <f t="shared" si="5"/>
        <v>46839</v>
      </c>
      <c r="N20" s="71">
        <f t="shared" si="10"/>
        <v>112.55101962971843</v>
      </c>
      <c r="O20" s="72">
        <f t="shared" si="8"/>
        <v>6.8157479230107842E-2</v>
      </c>
    </row>
    <row r="21" spans="2:33" x14ac:dyDescent="0.3">
      <c r="Z21" s="8"/>
      <c r="AA21" s="66"/>
      <c r="AG21" s="66"/>
    </row>
    <row r="22" spans="2:33" x14ac:dyDescent="0.3">
      <c r="Z22" s="8"/>
      <c r="AA22" s="66"/>
    </row>
    <row r="23" spans="2:33" x14ac:dyDescent="0.3">
      <c r="Z23" s="8"/>
      <c r="AA23" s="66"/>
    </row>
    <row r="24" spans="2:33" x14ac:dyDescent="0.3">
      <c r="Z24" s="8"/>
      <c r="AA24" s="66"/>
    </row>
  </sheetData>
  <mergeCells count="3">
    <mergeCell ref="B4:E4"/>
    <mergeCell ref="G4:J4"/>
    <mergeCell ref="L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5CA-8B11-42C8-8264-A48CDD9AD217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F19-CD94-4018-A96C-1CCA655F381E}">
  <sheetPr>
    <tabColor theme="1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showGridLines="0" zoomScaleNormal="100" zoomScalePageLayoutView="120" workbookViewId="0">
      <pane xSplit="1" ySplit="1" topLeftCell="B15" activePane="bottomRight" state="frozen"/>
      <selection activeCell="C4" sqref="C4"/>
      <selection pane="topRight" activeCell="C4" sqref="C4"/>
      <selection pane="bottomLeft" activeCell="C4" sqref="C4"/>
      <selection pane="bottomRight" activeCell="B82" sqref="B82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54</v>
      </c>
      <c r="B1" s="1" t="s">
        <v>32</v>
      </c>
      <c r="E1" s="76" t="str">
        <f>IF(B2&lt;&gt;B3, "A NEW VERSION OF THE WORKSHEET IS AVAILABLE", "")</f>
        <v/>
      </c>
      <c r="F1" s="76"/>
      <c r="G1" s="76"/>
      <c r="H1" s="76"/>
      <c r="I1" s="76"/>
      <c r="J1" s="76"/>
      <c r="K1" s="76"/>
    </row>
    <row r="2" spans="1:11" x14ac:dyDescent="0.3">
      <c r="A2" s="1" t="s">
        <v>30</v>
      </c>
      <c r="B2" s="3">
        <v>2.1</v>
      </c>
      <c r="E2" s="77" t="s">
        <v>21</v>
      </c>
      <c r="F2" s="77"/>
      <c r="G2" s="77"/>
      <c r="H2" s="77"/>
      <c r="I2" s="77"/>
      <c r="J2" s="77"/>
      <c r="K2" s="77"/>
    </row>
    <row r="3" spans="1:11" x14ac:dyDescent="0.3">
      <c r="A3" s="1" t="s">
        <v>31</v>
      </c>
      <c r="B3" s="3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3" t="s">
        <v>27</v>
      </c>
      <c r="B6" s="3">
        <f>IF(B9&gt;0, B9/B8, 0)</f>
        <v>676.56059478089605</v>
      </c>
    </row>
    <row r="7" spans="1:11" x14ac:dyDescent="0.3">
      <c r="A7" s="3" t="s">
        <v>16</v>
      </c>
      <c r="B7">
        <v>10</v>
      </c>
    </row>
    <row r="8" spans="1:11" x14ac:dyDescent="0.3">
      <c r="A8" s="3" t="s">
        <v>28</v>
      </c>
      <c r="B8">
        <v>2538.75</v>
      </c>
    </row>
    <row r="9" spans="1:11" x14ac:dyDescent="0.3">
      <c r="A9" s="3" t="s">
        <v>43</v>
      </c>
      <c r="B9">
        <v>1717618.21</v>
      </c>
    </row>
    <row r="15" spans="1:11" x14ac:dyDescent="0.3">
      <c r="A15" s="1" t="s">
        <v>22</v>
      </c>
    </row>
    <row r="16" spans="1:11" s="7" customFormat="1" x14ac:dyDescent="0.3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">
      <c r="A17" s="4" t="s">
        <v>0</v>
      </c>
      <c r="B17">
        <v>433521</v>
      </c>
      <c r="C17">
        <v>374372</v>
      </c>
      <c r="D17">
        <v>272583</v>
      </c>
      <c r="E17">
        <v>303954</v>
      </c>
      <c r="F17">
        <v>390823</v>
      </c>
      <c r="G17">
        <v>568337</v>
      </c>
      <c r="H17">
        <v>596679</v>
      </c>
      <c r="I17">
        <v>466307</v>
      </c>
      <c r="J17">
        <v>698672</v>
      </c>
      <c r="K17">
        <v>877835</v>
      </c>
    </row>
    <row r="18" spans="1:11" s="4" customFormat="1" x14ac:dyDescent="0.3">
      <c r="A18" s="3" t="s">
        <v>44</v>
      </c>
      <c r="B18">
        <v>363582</v>
      </c>
      <c r="C18">
        <v>292563</v>
      </c>
      <c r="D18">
        <v>186254</v>
      </c>
      <c r="E18">
        <v>217518</v>
      </c>
      <c r="F18">
        <v>276076</v>
      </c>
      <c r="G18">
        <v>399167</v>
      </c>
      <c r="H18">
        <v>410288</v>
      </c>
      <c r="I18">
        <v>301765</v>
      </c>
      <c r="J18">
        <v>496369</v>
      </c>
      <c r="K18">
        <v>618746</v>
      </c>
    </row>
    <row r="19" spans="1:11" s="4" customFormat="1" x14ac:dyDescent="0.3">
      <c r="A19" s="3" t="s">
        <v>45</v>
      </c>
      <c r="B19">
        <v>560</v>
      </c>
      <c r="C19">
        <v>-1483</v>
      </c>
      <c r="D19">
        <v>-2560</v>
      </c>
      <c r="E19">
        <v>5218</v>
      </c>
      <c r="F19">
        <v>8610</v>
      </c>
      <c r="G19">
        <v>4680</v>
      </c>
      <c r="H19">
        <v>5048</v>
      </c>
      <c r="I19">
        <v>9064</v>
      </c>
      <c r="J19">
        <v>21457</v>
      </c>
      <c r="K19">
        <v>30263</v>
      </c>
    </row>
    <row r="20" spans="1:11" s="4" customFormat="1" x14ac:dyDescent="0.3">
      <c r="A20" s="3" t="s">
        <v>46</v>
      </c>
      <c r="B20">
        <v>10855</v>
      </c>
      <c r="C20">
        <v>13261</v>
      </c>
      <c r="D20">
        <v>10741</v>
      </c>
      <c r="E20">
        <v>11251</v>
      </c>
      <c r="F20">
        <v>14569</v>
      </c>
      <c r="G20">
        <v>17029</v>
      </c>
      <c r="H20">
        <v>15098</v>
      </c>
      <c r="I20">
        <v>13214</v>
      </c>
      <c r="J20">
        <v>17902</v>
      </c>
      <c r="K20"/>
    </row>
    <row r="21" spans="1:11" s="4" customFormat="1" x14ac:dyDescent="0.3">
      <c r="A21" s="3" t="s">
        <v>47</v>
      </c>
      <c r="B21">
        <v>7954</v>
      </c>
      <c r="C21">
        <v>8914</v>
      </c>
      <c r="D21">
        <v>8272</v>
      </c>
      <c r="E21">
        <v>9909</v>
      </c>
      <c r="F21">
        <v>9691</v>
      </c>
      <c r="G21">
        <v>12198</v>
      </c>
      <c r="H21">
        <v>11434</v>
      </c>
      <c r="I21">
        <v>7687</v>
      </c>
      <c r="J21">
        <v>12174</v>
      </c>
      <c r="K21"/>
    </row>
    <row r="22" spans="1:11" s="4" customFormat="1" x14ac:dyDescent="0.3">
      <c r="A22" s="3" t="s">
        <v>48</v>
      </c>
      <c r="B22">
        <v>5572</v>
      </c>
      <c r="C22">
        <v>6262</v>
      </c>
      <c r="D22">
        <v>7407</v>
      </c>
      <c r="E22">
        <v>8388</v>
      </c>
      <c r="F22">
        <v>9523</v>
      </c>
      <c r="G22">
        <v>12488</v>
      </c>
      <c r="H22">
        <v>14075</v>
      </c>
      <c r="I22">
        <v>14817</v>
      </c>
      <c r="J22">
        <v>18775</v>
      </c>
      <c r="K22">
        <v>24872</v>
      </c>
    </row>
    <row r="23" spans="1:11" s="4" customFormat="1" x14ac:dyDescent="0.3">
      <c r="A23" s="3" t="s">
        <v>49</v>
      </c>
      <c r="B23">
        <v>10681</v>
      </c>
      <c r="C23">
        <v>12548</v>
      </c>
      <c r="D23">
        <v>18808</v>
      </c>
      <c r="E23">
        <v>18520</v>
      </c>
      <c r="F23">
        <v>29111</v>
      </c>
      <c r="G23">
        <v>50221</v>
      </c>
      <c r="H23">
        <v>62622</v>
      </c>
      <c r="I23">
        <v>56154</v>
      </c>
      <c r="J23">
        <v>63557</v>
      </c>
      <c r="K23"/>
    </row>
    <row r="24" spans="1:11" s="4" customFormat="1" x14ac:dyDescent="0.3">
      <c r="A24" s="3" t="s">
        <v>50</v>
      </c>
      <c r="B24">
        <v>502</v>
      </c>
      <c r="C24">
        <v>1892</v>
      </c>
      <c r="D24">
        <v>-3240</v>
      </c>
      <c r="E24">
        <v>-2721</v>
      </c>
      <c r="F24">
        <v>-3852</v>
      </c>
      <c r="G24">
        <v>-2336</v>
      </c>
      <c r="H24">
        <v>-1056</v>
      </c>
      <c r="I24">
        <v>944</v>
      </c>
      <c r="J24">
        <v>757</v>
      </c>
      <c r="K24">
        <v>122318</v>
      </c>
    </row>
    <row r="25" spans="1:11" s="4" customFormat="1" x14ac:dyDescent="0.3">
      <c r="A25" s="4" t="s">
        <v>3</v>
      </c>
      <c r="B25">
        <v>8865</v>
      </c>
      <c r="C25">
        <v>8528</v>
      </c>
      <c r="D25">
        <v>12212</v>
      </c>
      <c r="E25">
        <v>9222</v>
      </c>
      <c r="F25">
        <v>9869</v>
      </c>
      <c r="G25">
        <v>8406</v>
      </c>
      <c r="H25">
        <v>8570</v>
      </c>
      <c r="I25">
        <v>22432</v>
      </c>
      <c r="J25">
        <v>17928</v>
      </c>
      <c r="K25">
        <v>12176</v>
      </c>
    </row>
    <row r="26" spans="1:11" s="4" customFormat="1" x14ac:dyDescent="0.3">
      <c r="A26" s="4" t="s">
        <v>4</v>
      </c>
      <c r="B26">
        <v>11201</v>
      </c>
      <c r="C26">
        <v>11547</v>
      </c>
      <c r="D26">
        <v>11565</v>
      </c>
      <c r="E26">
        <v>11646</v>
      </c>
      <c r="F26">
        <v>16706</v>
      </c>
      <c r="G26">
        <v>20934</v>
      </c>
      <c r="H26">
        <v>22203</v>
      </c>
      <c r="I26">
        <v>26572</v>
      </c>
      <c r="J26">
        <v>29797</v>
      </c>
      <c r="K26">
        <v>40303</v>
      </c>
    </row>
    <row r="27" spans="1:11" s="4" customFormat="1" x14ac:dyDescent="0.3">
      <c r="A27" s="4" t="s">
        <v>5</v>
      </c>
      <c r="B27">
        <v>3836</v>
      </c>
      <c r="C27">
        <v>3316</v>
      </c>
      <c r="D27">
        <v>3691</v>
      </c>
      <c r="E27">
        <v>3849</v>
      </c>
      <c r="F27">
        <v>8052</v>
      </c>
      <c r="G27">
        <v>16495</v>
      </c>
      <c r="H27">
        <v>22027</v>
      </c>
      <c r="I27">
        <v>21189</v>
      </c>
      <c r="J27">
        <v>14584</v>
      </c>
      <c r="K27">
        <v>19571</v>
      </c>
    </row>
    <row r="28" spans="1:11" s="4" customFormat="1" x14ac:dyDescent="0.3">
      <c r="A28" s="4" t="s">
        <v>6</v>
      </c>
      <c r="B28">
        <v>28763</v>
      </c>
      <c r="C28">
        <v>31114</v>
      </c>
      <c r="D28">
        <v>38737</v>
      </c>
      <c r="E28">
        <v>40034</v>
      </c>
      <c r="F28">
        <v>49426</v>
      </c>
      <c r="G28">
        <v>55227</v>
      </c>
      <c r="H28">
        <v>53606</v>
      </c>
      <c r="I28">
        <v>55461</v>
      </c>
      <c r="J28">
        <v>84142</v>
      </c>
      <c r="K28">
        <v>94464</v>
      </c>
    </row>
    <row r="29" spans="1:11" s="4" customFormat="1" x14ac:dyDescent="0.3">
      <c r="A29" s="4" t="s">
        <v>7</v>
      </c>
      <c r="B29">
        <v>6215</v>
      </c>
      <c r="C29">
        <v>7474</v>
      </c>
      <c r="D29">
        <v>8876</v>
      </c>
      <c r="E29">
        <v>10201</v>
      </c>
      <c r="F29">
        <v>13346</v>
      </c>
      <c r="G29">
        <v>15390</v>
      </c>
      <c r="H29">
        <v>13726</v>
      </c>
      <c r="I29">
        <v>1722</v>
      </c>
      <c r="J29">
        <v>16297</v>
      </c>
      <c r="K29">
        <v>20376</v>
      </c>
    </row>
    <row r="30" spans="1:11" s="4" customFormat="1" x14ac:dyDescent="0.3">
      <c r="A30" s="4" t="s">
        <v>8</v>
      </c>
      <c r="B30">
        <v>22493</v>
      </c>
      <c r="C30">
        <v>23566</v>
      </c>
      <c r="D30">
        <v>29745</v>
      </c>
      <c r="E30">
        <v>29901</v>
      </c>
      <c r="F30">
        <v>36075</v>
      </c>
      <c r="G30">
        <v>39588</v>
      </c>
      <c r="H30">
        <v>39354</v>
      </c>
      <c r="I30">
        <v>49128</v>
      </c>
      <c r="J30">
        <v>60705</v>
      </c>
      <c r="K30">
        <v>66702</v>
      </c>
    </row>
    <row r="31" spans="1:11" s="4" customFormat="1" x14ac:dyDescent="0.3">
      <c r="A31" s="4" t="s">
        <v>34</v>
      </c>
      <c r="B31">
        <v>2793</v>
      </c>
      <c r="C31">
        <v>2943</v>
      </c>
      <c r="D31">
        <v>3095.4</v>
      </c>
      <c r="E31">
        <v>3254.9</v>
      </c>
      <c r="F31">
        <v>3553.2</v>
      </c>
      <c r="G31">
        <v>3851.9</v>
      </c>
      <c r="H31">
        <v>4120.3500000000004</v>
      </c>
      <c r="I31">
        <v>4511.5</v>
      </c>
      <c r="J31">
        <v>5412</v>
      </c>
      <c r="K31"/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24</v>
      </c>
    </row>
    <row r="41" spans="1:11" s="7" customFormat="1" x14ac:dyDescent="0.3">
      <c r="A41" s="6" t="s">
        <v>23</v>
      </c>
      <c r="B41" s="5">
        <v>44286</v>
      </c>
      <c r="C41" s="5">
        <v>44377</v>
      </c>
      <c r="D41" s="5">
        <v>44469</v>
      </c>
      <c r="E41" s="5">
        <v>44561</v>
      </c>
      <c r="F41" s="5">
        <v>44651</v>
      </c>
      <c r="G41" s="5">
        <v>44742</v>
      </c>
      <c r="H41" s="5">
        <v>44834</v>
      </c>
      <c r="I41" s="5">
        <v>44926</v>
      </c>
      <c r="J41" s="5">
        <v>45016</v>
      </c>
      <c r="K41" s="5">
        <v>45107</v>
      </c>
    </row>
    <row r="42" spans="1:11" s="4" customFormat="1" x14ac:dyDescent="0.3">
      <c r="A42" s="4" t="s">
        <v>0</v>
      </c>
      <c r="B42">
        <v>149575</v>
      </c>
      <c r="C42">
        <v>139949</v>
      </c>
      <c r="D42">
        <v>167611</v>
      </c>
      <c r="E42">
        <v>185027</v>
      </c>
      <c r="F42">
        <v>207375</v>
      </c>
      <c r="G42">
        <v>218855</v>
      </c>
      <c r="H42">
        <v>230055</v>
      </c>
      <c r="I42">
        <v>217164</v>
      </c>
      <c r="J42">
        <v>212834</v>
      </c>
      <c r="K42">
        <v>207559</v>
      </c>
    </row>
    <row r="43" spans="1:11" s="4" customFormat="1" x14ac:dyDescent="0.3">
      <c r="A43" s="4" t="s">
        <v>1</v>
      </c>
      <c r="B43">
        <v>126224</v>
      </c>
      <c r="C43">
        <v>116618</v>
      </c>
      <c r="D43">
        <v>141591</v>
      </c>
      <c r="E43">
        <v>155321</v>
      </c>
      <c r="F43">
        <v>176009</v>
      </c>
      <c r="G43">
        <v>181157</v>
      </c>
      <c r="H43">
        <v>198906</v>
      </c>
      <c r="I43">
        <v>181917</v>
      </c>
      <c r="J43">
        <v>174478</v>
      </c>
      <c r="K43">
        <v>169466</v>
      </c>
    </row>
    <row r="44" spans="1:11" s="4" customFormat="1" x14ac:dyDescent="0.3">
      <c r="A44" s="4" t="s">
        <v>3</v>
      </c>
      <c r="B44">
        <v>4048</v>
      </c>
      <c r="C44">
        <v>4219</v>
      </c>
      <c r="D44">
        <v>4263</v>
      </c>
      <c r="E44">
        <v>7016</v>
      </c>
      <c r="F44">
        <v>2602</v>
      </c>
      <c r="G44">
        <v>2275</v>
      </c>
      <c r="H44">
        <v>3514</v>
      </c>
      <c r="I44">
        <v>3213</v>
      </c>
      <c r="J44">
        <v>2996</v>
      </c>
      <c r="K44">
        <v>3889</v>
      </c>
    </row>
    <row r="45" spans="1:11" s="4" customFormat="1" x14ac:dyDescent="0.3">
      <c r="A45" s="4" t="s">
        <v>4</v>
      </c>
      <c r="B45">
        <v>6973</v>
      </c>
      <c r="C45">
        <v>6883</v>
      </c>
      <c r="D45">
        <v>7230</v>
      </c>
      <c r="E45">
        <v>7683</v>
      </c>
      <c r="F45">
        <v>8001</v>
      </c>
      <c r="G45">
        <v>8942</v>
      </c>
      <c r="H45">
        <v>9730</v>
      </c>
      <c r="I45">
        <v>10187</v>
      </c>
      <c r="J45">
        <v>11452</v>
      </c>
      <c r="K45">
        <v>11775</v>
      </c>
    </row>
    <row r="46" spans="1:11" s="4" customFormat="1" x14ac:dyDescent="0.3">
      <c r="A46" s="4" t="s">
        <v>5</v>
      </c>
      <c r="B46">
        <v>4044</v>
      </c>
      <c r="C46">
        <v>3397</v>
      </c>
      <c r="D46">
        <v>3819</v>
      </c>
      <c r="E46">
        <v>3812</v>
      </c>
      <c r="F46">
        <v>3556</v>
      </c>
      <c r="G46">
        <v>3997</v>
      </c>
      <c r="H46">
        <v>4554</v>
      </c>
      <c r="I46">
        <v>5201</v>
      </c>
      <c r="J46">
        <v>5819</v>
      </c>
      <c r="K46">
        <v>5837</v>
      </c>
    </row>
    <row r="47" spans="1:11" s="4" customFormat="1" x14ac:dyDescent="0.3">
      <c r="A47" s="4" t="s">
        <v>6</v>
      </c>
      <c r="B47">
        <v>16382</v>
      </c>
      <c r="C47">
        <v>17270</v>
      </c>
      <c r="D47">
        <v>19234</v>
      </c>
      <c r="E47">
        <v>25227</v>
      </c>
      <c r="F47">
        <v>22411</v>
      </c>
      <c r="G47">
        <v>27034</v>
      </c>
      <c r="H47">
        <v>20379</v>
      </c>
      <c r="I47">
        <v>23072</v>
      </c>
      <c r="J47">
        <v>24081</v>
      </c>
      <c r="K47">
        <v>24370</v>
      </c>
    </row>
    <row r="48" spans="1:11" s="4" customFormat="1" x14ac:dyDescent="0.3">
      <c r="A48" s="4" t="s">
        <v>7</v>
      </c>
      <c r="B48">
        <v>1387</v>
      </c>
      <c r="C48">
        <v>3464</v>
      </c>
      <c r="D48">
        <v>3755</v>
      </c>
      <c r="E48">
        <v>4688</v>
      </c>
      <c r="F48">
        <v>4390</v>
      </c>
      <c r="G48">
        <v>7591</v>
      </c>
      <c r="H48">
        <v>4867</v>
      </c>
      <c r="I48">
        <v>5266</v>
      </c>
      <c r="J48">
        <v>2754</v>
      </c>
      <c r="K48">
        <v>6112</v>
      </c>
    </row>
    <row r="49" spans="1:11" s="4" customFormat="1" x14ac:dyDescent="0.3">
      <c r="A49" s="4" t="s">
        <v>8</v>
      </c>
      <c r="B49">
        <v>13227</v>
      </c>
      <c r="C49">
        <v>12273</v>
      </c>
      <c r="D49">
        <v>13680</v>
      </c>
      <c r="E49">
        <v>18549</v>
      </c>
      <c r="F49">
        <v>16203</v>
      </c>
      <c r="G49">
        <v>17955</v>
      </c>
      <c r="H49">
        <v>13656</v>
      </c>
      <c r="I49">
        <v>15792</v>
      </c>
      <c r="J49">
        <v>19299</v>
      </c>
      <c r="K49">
        <v>16011</v>
      </c>
    </row>
    <row r="50" spans="1:11" x14ac:dyDescent="0.3">
      <c r="A50" s="4" t="s">
        <v>2</v>
      </c>
      <c r="B50">
        <v>23351</v>
      </c>
      <c r="C50">
        <v>23331</v>
      </c>
      <c r="D50">
        <v>26020</v>
      </c>
      <c r="E50">
        <v>29706</v>
      </c>
      <c r="F50">
        <v>31366</v>
      </c>
      <c r="G50">
        <v>37698</v>
      </c>
      <c r="H50">
        <v>31149</v>
      </c>
      <c r="I50">
        <v>35247</v>
      </c>
      <c r="J50">
        <v>38356</v>
      </c>
      <c r="K50">
        <v>38093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25</v>
      </c>
    </row>
    <row r="56" spans="1:11" s="7" customFormat="1" x14ac:dyDescent="0.3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">
      <c r="A57" s="4" t="s">
        <v>10</v>
      </c>
      <c r="B57">
        <v>2940</v>
      </c>
      <c r="C57">
        <v>2943</v>
      </c>
      <c r="D57">
        <v>2948</v>
      </c>
      <c r="E57">
        <v>2959</v>
      </c>
      <c r="F57">
        <v>5922</v>
      </c>
      <c r="G57">
        <v>5926</v>
      </c>
      <c r="H57">
        <v>6339</v>
      </c>
      <c r="I57">
        <v>6445</v>
      </c>
      <c r="J57">
        <v>6765</v>
      </c>
      <c r="K57">
        <v>6766</v>
      </c>
    </row>
    <row r="58" spans="1:11" x14ac:dyDescent="0.3">
      <c r="A58" s="4" t="s">
        <v>11</v>
      </c>
      <c r="B58">
        <v>195747</v>
      </c>
      <c r="C58">
        <v>215556</v>
      </c>
      <c r="D58">
        <v>228608</v>
      </c>
      <c r="E58">
        <v>260750</v>
      </c>
      <c r="F58">
        <v>287584</v>
      </c>
      <c r="G58">
        <v>381186</v>
      </c>
      <c r="H58">
        <v>442827</v>
      </c>
      <c r="I58">
        <v>693727</v>
      </c>
      <c r="J58">
        <v>772720</v>
      </c>
      <c r="K58">
        <v>814387</v>
      </c>
    </row>
    <row r="59" spans="1:11" x14ac:dyDescent="0.3">
      <c r="A59" s="4" t="s">
        <v>35</v>
      </c>
      <c r="B59">
        <v>138761</v>
      </c>
      <c r="C59">
        <v>168251</v>
      </c>
      <c r="D59">
        <v>194714</v>
      </c>
      <c r="E59">
        <v>217475</v>
      </c>
      <c r="F59">
        <v>239843</v>
      </c>
      <c r="G59">
        <v>307714</v>
      </c>
      <c r="H59">
        <v>355133</v>
      </c>
      <c r="I59">
        <v>278962</v>
      </c>
      <c r="J59">
        <v>319158</v>
      </c>
      <c r="K59">
        <v>335134</v>
      </c>
    </row>
    <row r="60" spans="1:11" x14ac:dyDescent="0.3">
      <c r="A60" s="4" t="s">
        <v>36</v>
      </c>
      <c r="B60">
        <v>91395</v>
      </c>
      <c r="C60">
        <v>117736</v>
      </c>
      <c r="D60">
        <v>172727</v>
      </c>
      <c r="E60">
        <v>225618</v>
      </c>
      <c r="F60">
        <v>277924</v>
      </c>
      <c r="G60">
        <v>302804</v>
      </c>
      <c r="H60">
        <v>358716</v>
      </c>
      <c r="I60">
        <v>340931</v>
      </c>
      <c r="J60">
        <v>399979</v>
      </c>
      <c r="K60">
        <v>557219</v>
      </c>
    </row>
    <row r="61" spans="1:11" s="1" customFormat="1" x14ac:dyDescent="0.3">
      <c r="A61" s="1" t="s">
        <v>12</v>
      </c>
      <c r="B61">
        <v>428843</v>
      </c>
      <c r="C61">
        <v>504486</v>
      </c>
      <c r="D61">
        <v>598997</v>
      </c>
      <c r="E61">
        <v>706802</v>
      </c>
      <c r="F61">
        <v>811273</v>
      </c>
      <c r="G61">
        <v>997630</v>
      </c>
      <c r="H61">
        <v>1163015</v>
      </c>
      <c r="I61">
        <v>1320065</v>
      </c>
      <c r="J61">
        <v>1498622</v>
      </c>
      <c r="K61">
        <v>1713506</v>
      </c>
    </row>
    <row r="62" spans="1:11" x14ac:dyDescent="0.3">
      <c r="A62" s="4" t="s">
        <v>13</v>
      </c>
      <c r="B62">
        <v>141417</v>
      </c>
      <c r="C62">
        <v>156458</v>
      </c>
      <c r="D62">
        <v>184910</v>
      </c>
      <c r="E62">
        <v>198526</v>
      </c>
      <c r="F62">
        <v>403885</v>
      </c>
      <c r="G62">
        <v>398374</v>
      </c>
      <c r="H62">
        <v>532658</v>
      </c>
      <c r="I62">
        <v>541258</v>
      </c>
      <c r="J62">
        <v>627798</v>
      </c>
      <c r="K62">
        <v>899786</v>
      </c>
    </row>
    <row r="63" spans="1:11" x14ac:dyDescent="0.3">
      <c r="A63" s="4" t="s">
        <v>14</v>
      </c>
      <c r="B63">
        <v>91494</v>
      </c>
      <c r="C63">
        <v>166462</v>
      </c>
      <c r="D63">
        <v>228697</v>
      </c>
      <c r="E63">
        <v>324837</v>
      </c>
      <c r="F63">
        <v>187022</v>
      </c>
      <c r="G63">
        <v>179463</v>
      </c>
      <c r="H63">
        <v>109106</v>
      </c>
      <c r="I63">
        <v>125953</v>
      </c>
      <c r="J63">
        <v>172506</v>
      </c>
      <c r="K63">
        <v>117259</v>
      </c>
    </row>
    <row r="64" spans="1:11" x14ac:dyDescent="0.3">
      <c r="A64" s="4" t="s">
        <v>15</v>
      </c>
      <c r="B64">
        <v>60602</v>
      </c>
      <c r="C64">
        <v>76451</v>
      </c>
      <c r="D64">
        <v>84015</v>
      </c>
      <c r="E64">
        <v>82899</v>
      </c>
      <c r="F64">
        <v>82862</v>
      </c>
      <c r="G64">
        <v>235635</v>
      </c>
      <c r="H64">
        <v>276767</v>
      </c>
      <c r="I64">
        <v>364828</v>
      </c>
      <c r="J64">
        <v>394264</v>
      </c>
      <c r="K64">
        <v>336633</v>
      </c>
    </row>
    <row r="65" spans="1:11" x14ac:dyDescent="0.3">
      <c r="A65" s="4" t="s">
        <v>37</v>
      </c>
      <c r="B65">
        <v>135330</v>
      </c>
      <c r="C65">
        <v>105115</v>
      </c>
      <c r="D65">
        <v>101375</v>
      </c>
      <c r="E65">
        <v>100540</v>
      </c>
      <c r="F65">
        <v>137504</v>
      </c>
      <c r="G65">
        <v>184158</v>
      </c>
      <c r="H65">
        <v>244484</v>
      </c>
      <c r="I65">
        <v>288026</v>
      </c>
      <c r="J65">
        <v>304054</v>
      </c>
      <c r="K65">
        <v>359828</v>
      </c>
    </row>
    <row r="66" spans="1:11" s="1" customFormat="1" x14ac:dyDescent="0.3">
      <c r="A66" s="1" t="s">
        <v>12</v>
      </c>
      <c r="B66">
        <v>428843</v>
      </c>
      <c r="C66">
        <v>504486</v>
      </c>
      <c r="D66">
        <v>598997</v>
      </c>
      <c r="E66">
        <v>706802</v>
      </c>
      <c r="F66">
        <v>811273</v>
      </c>
      <c r="G66">
        <v>997630</v>
      </c>
      <c r="H66">
        <v>1163015</v>
      </c>
      <c r="I66">
        <v>1320065</v>
      </c>
      <c r="J66">
        <v>1498622</v>
      </c>
      <c r="K66">
        <v>1713506</v>
      </c>
    </row>
    <row r="67" spans="1:11" s="4" customFormat="1" x14ac:dyDescent="0.3">
      <c r="A67" s="4" t="s">
        <v>42</v>
      </c>
      <c r="B67">
        <v>9411</v>
      </c>
      <c r="C67">
        <v>5315</v>
      </c>
      <c r="D67">
        <v>4465</v>
      </c>
      <c r="E67">
        <v>8177</v>
      </c>
      <c r="F67">
        <v>17555</v>
      </c>
      <c r="G67">
        <v>30089</v>
      </c>
      <c r="H67">
        <v>19656</v>
      </c>
      <c r="I67">
        <v>19014</v>
      </c>
      <c r="J67">
        <v>23640</v>
      </c>
      <c r="K67">
        <v>28451</v>
      </c>
    </row>
    <row r="68" spans="1:11" x14ac:dyDescent="0.3">
      <c r="A68" s="4" t="s">
        <v>29</v>
      </c>
      <c r="B68">
        <v>56720</v>
      </c>
      <c r="C68">
        <v>53248</v>
      </c>
      <c r="D68">
        <v>46486</v>
      </c>
      <c r="E68">
        <v>48951</v>
      </c>
      <c r="F68">
        <v>60837</v>
      </c>
      <c r="G68">
        <v>67561</v>
      </c>
      <c r="H68">
        <v>73903</v>
      </c>
      <c r="I68">
        <v>81672</v>
      </c>
      <c r="J68">
        <v>107778</v>
      </c>
      <c r="K68">
        <v>140008</v>
      </c>
    </row>
    <row r="69" spans="1:11" x14ac:dyDescent="0.3">
      <c r="A69" s="3" t="s">
        <v>51</v>
      </c>
      <c r="B69">
        <v>37984</v>
      </c>
      <c r="C69">
        <v>12545</v>
      </c>
      <c r="D69">
        <v>11028</v>
      </c>
      <c r="E69">
        <v>3023</v>
      </c>
      <c r="F69">
        <v>4255</v>
      </c>
      <c r="G69">
        <v>11081</v>
      </c>
      <c r="H69">
        <v>30920</v>
      </c>
      <c r="I69">
        <v>17397</v>
      </c>
      <c r="J69">
        <v>36178</v>
      </c>
      <c r="K69">
        <v>74708</v>
      </c>
    </row>
    <row r="70" spans="1:11" x14ac:dyDescent="0.3">
      <c r="A70" s="3" t="s">
        <v>38</v>
      </c>
      <c r="B70">
        <v>2939547231</v>
      </c>
      <c r="C70">
        <v>2943334138</v>
      </c>
      <c r="D70">
        <v>2948021694</v>
      </c>
      <c r="E70">
        <v>2958924277</v>
      </c>
      <c r="F70">
        <v>5921826196</v>
      </c>
      <c r="G70">
        <v>5925868997</v>
      </c>
      <c r="H70">
        <v>6339267510</v>
      </c>
      <c r="I70">
        <v>6762068814</v>
      </c>
      <c r="J70">
        <v>6765994014</v>
      </c>
      <c r="K70"/>
    </row>
    <row r="71" spans="1:11" x14ac:dyDescent="0.3">
      <c r="A71" s="3" t="s">
        <v>39</v>
      </c>
      <c r="F71">
        <v>2959863235</v>
      </c>
      <c r="G71">
        <v>2959863235</v>
      </c>
    </row>
    <row r="72" spans="1:11" x14ac:dyDescent="0.3">
      <c r="A72" s="3" t="s">
        <v>52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26</v>
      </c>
    </row>
    <row r="81" spans="1:11" s="7" customFormat="1" x14ac:dyDescent="0.3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">
      <c r="A82" s="4" t="s">
        <v>17</v>
      </c>
      <c r="B82">
        <v>43261</v>
      </c>
      <c r="C82">
        <v>34374</v>
      </c>
      <c r="D82">
        <v>38134</v>
      </c>
      <c r="E82">
        <v>49550</v>
      </c>
      <c r="F82">
        <v>71459</v>
      </c>
      <c r="G82">
        <v>42346</v>
      </c>
      <c r="H82">
        <v>94877</v>
      </c>
      <c r="I82">
        <v>26958</v>
      </c>
      <c r="J82">
        <v>110654</v>
      </c>
      <c r="K82">
        <v>115032</v>
      </c>
    </row>
    <row r="83" spans="1:11" s="4" customFormat="1" x14ac:dyDescent="0.3">
      <c r="A83" s="4" t="s">
        <v>18</v>
      </c>
      <c r="B83">
        <v>-73070</v>
      </c>
      <c r="C83">
        <v>-64706</v>
      </c>
      <c r="D83">
        <v>-36186</v>
      </c>
      <c r="E83">
        <v>-66201</v>
      </c>
      <c r="F83">
        <v>-68192</v>
      </c>
      <c r="G83">
        <v>-94507</v>
      </c>
      <c r="H83">
        <v>-72497</v>
      </c>
      <c r="I83">
        <v>-142385</v>
      </c>
      <c r="J83">
        <v>-109162</v>
      </c>
      <c r="K83">
        <v>-91235</v>
      </c>
    </row>
    <row r="84" spans="1:11" s="4" customFormat="1" x14ac:dyDescent="0.3">
      <c r="A84" s="4" t="s">
        <v>19</v>
      </c>
      <c r="B84">
        <v>13713</v>
      </c>
      <c r="C84">
        <v>8444</v>
      </c>
      <c r="D84">
        <v>-3210</v>
      </c>
      <c r="E84">
        <v>8617</v>
      </c>
      <c r="F84">
        <v>-2001</v>
      </c>
      <c r="G84">
        <v>55906</v>
      </c>
      <c r="H84">
        <v>-2541</v>
      </c>
      <c r="I84">
        <v>101904</v>
      </c>
      <c r="J84">
        <v>17289</v>
      </c>
      <c r="K84">
        <v>10455</v>
      </c>
    </row>
    <row r="85" spans="1:11" s="1" customFormat="1" x14ac:dyDescent="0.3">
      <c r="A85" s="4" t="s">
        <v>20</v>
      </c>
      <c r="B85">
        <v>-16096</v>
      </c>
      <c r="C85">
        <v>-21888</v>
      </c>
      <c r="D85">
        <v>-1262</v>
      </c>
      <c r="E85">
        <v>-8034</v>
      </c>
      <c r="F85">
        <v>1266</v>
      </c>
      <c r="G85">
        <v>3745</v>
      </c>
      <c r="H85">
        <v>19839</v>
      </c>
      <c r="I85">
        <v>-13523</v>
      </c>
      <c r="J85">
        <v>18781</v>
      </c>
      <c r="K85">
        <v>34252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41</v>
      </c>
      <c r="B90">
        <v>422.91</v>
      </c>
      <c r="C90">
        <v>375.31</v>
      </c>
      <c r="D90">
        <v>474.91</v>
      </c>
      <c r="E90">
        <v>600.17999999999995</v>
      </c>
      <c r="F90">
        <v>802.15</v>
      </c>
      <c r="G90">
        <v>1238.8499999999999</v>
      </c>
      <c r="H90">
        <v>1012.12</v>
      </c>
      <c r="I90">
        <v>1837.56</v>
      </c>
      <c r="J90">
        <v>2417.0100000000002</v>
      </c>
      <c r="K90">
        <v>2138.41</v>
      </c>
    </row>
    <row r="92" spans="1:11" s="1" customFormat="1" x14ac:dyDescent="0.3">
      <c r="A92" s="1" t="s">
        <v>40</v>
      </c>
    </row>
    <row r="93" spans="1:11" x14ac:dyDescent="0.3">
      <c r="A93" s="3" t="s">
        <v>53</v>
      </c>
      <c r="B93" s="9">
        <v>689.48</v>
      </c>
      <c r="C93" s="9">
        <v>690.28</v>
      </c>
      <c r="D93" s="9">
        <v>691.28</v>
      </c>
      <c r="E93" s="9">
        <v>693.62</v>
      </c>
      <c r="F93" s="9">
        <v>675.7</v>
      </c>
      <c r="G93" s="9">
        <v>676.13</v>
      </c>
      <c r="H93" s="9">
        <v>676.19</v>
      </c>
      <c r="I93" s="9">
        <v>633.94000000000005</v>
      </c>
      <c r="J93" s="9">
        <v>676.49</v>
      </c>
      <c r="K93" s="9">
        <v>676.56</v>
      </c>
    </row>
  </sheetData>
  <sheetProtection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D4A-2993-4F9B-B47C-4C9669C8D086}">
  <dimension ref="B2:L36"/>
  <sheetViews>
    <sheetView topLeftCell="A4" workbookViewId="0">
      <selection activeCell="C4" sqref="C4"/>
    </sheetView>
  </sheetViews>
  <sheetFormatPr defaultRowHeight="14.4" x14ac:dyDescent="0.3"/>
  <cols>
    <col min="2" max="2" width="25.77734375" bestFit="1" customWidth="1"/>
    <col min="3" max="10" width="10.77734375" customWidth="1"/>
  </cols>
  <sheetData>
    <row r="2" spans="2:12" x14ac:dyDescent="0.3">
      <c r="C2" s="10">
        <v>41699</v>
      </c>
      <c r="D2" s="10">
        <v>42064</v>
      </c>
      <c r="E2" s="10">
        <v>42430</v>
      </c>
      <c r="F2" s="10">
        <v>42795</v>
      </c>
      <c r="G2" s="10">
        <v>43160</v>
      </c>
      <c r="H2" s="10">
        <v>43525</v>
      </c>
      <c r="I2" s="10">
        <v>43891</v>
      </c>
      <c r="J2" s="10">
        <v>44256</v>
      </c>
      <c r="K2" s="10">
        <v>44621</v>
      </c>
      <c r="L2" s="10">
        <v>44986</v>
      </c>
    </row>
    <row r="3" spans="2:12" x14ac:dyDescent="0.3">
      <c r="B3" s="2" t="s">
        <v>88</v>
      </c>
      <c r="C3" s="23">
        <v>43261</v>
      </c>
      <c r="D3" s="23">
        <v>34374</v>
      </c>
      <c r="E3" s="23">
        <v>38134</v>
      </c>
      <c r="F3" s="23">
        <v>49550</v>
      </c>
      <c r="G3" s="23">
        <v>71459</v>
      </c>
      <c r="H3" s="23">
        <v>42346</v>
      </c>
      <c r="I3" s="23">
        <v>94877</v>
      </c>
      <c r="J3" s="23">
        <v>26958</v>
      </c>
      <c r="K3" s="23">
        <v>110654</v>
      </c>
      <c r="L3" s="23">
        <v>115032</v>
      </c>
    </row>
    <row r="4" spans="2:12" x14ac:dyDescent="0.3">
      <c r="B4" t="s">
        <v>89</v>
      </c>
      <c r="C4" s="21">
        <v>38444</v>
      </c>
      <c r="D4" s="21">
        <v>38994</v>
      </c>
      <c r="E4" s="21">
        <v>38887</v>
      </c>
      <c r="F4" s="21">
        <v>44170</v>
      </c>
      <c r="G4" s="21">
        <v>62765</v>
      </c>
      <c r="H4" s="21">
        <v>83319</v>
      </c>
      <c r="I4" s="21">
        <v>85347</v>
      </c>
      <c r="J4" s="21">
        <v>80129</v>
      </c>
      <c r="K4" s="21">
        <v>113726</v>
      </c>
      <c r="L4" s="21">
        <v>140963</v>
      </c>
    </row>
    <row r="5" spans="2:12" x14ac:dyDescent="0.3">
      <c r="B5" t="s">
        <v>42</v>
      </c>
      <c r="C5" s="21">
        <v>-1913</v>
      </c>
      <c r="D5" s="21">
        <v>1097</v>
      </c>
      <c r="E5" s="21">
        <v>-6880</v>
      </c>
      <c r="F5" s="21">
        <v>-8511</v>
      </c>
      <c r="G5" s="21">
        <v>-21991</v>
      </c>
      <c r="H5" s="21">
        <v>-40136</v>
      </c>
      <c r="I5" s="21">
        <v>-13792</v>
      </c>
      <c r="J5" s="21">
        <v>959</v>
      </c>
      <c r="K5" s="21">
        <v>-14180</v>
      </c>
      <c r="L5" s="21">
        <v>13194</v>
      </c>
    </row>
    <row r="6" spans="2:12" x14ac:dyDescent="0.3">
      <c r="B6" t="s">
        <v>29</v>
      </c>
      <c r="C6" s="21">
        <v>-1396</v>
      </c>
      <c r="D6" s="21">
        <v>3472</v>
      </c>
      <c r="E6" s="21">
        <v>6758</v>
      </c>
      <c r="F6" s="21">
        <v>-6899</v>
      </c>
      <c r="G6" s="21">
        <v>-10474</v>
      </c>
      <c r="H6" s="21">
        <v>-6724</v>
      </c>
      <c r="I6" s="21">
        <v>-6342</v>
      </c>
      <c r="J6" s="21">
        <v>-7769</v>
      </c>
      <c r="K6" s="21">
        <v>-24983</v>
      </c>
      <c r="L6" s="21">
        <v>-32228</v>
      </c>
    </row>
    <row r="7" spans="2:12" x14ac:dyDescent="0.3">
      <c r="B7" t="s">
        <v>90</v>
      </c>
      <c r="C7" s="21">
        <v>14339</v>
      </c>
      <c r="D7" s="21">
        <v>-2754</v>
      </c>
      <c r="E7" s="21">
        <v>7951</v>
      </c>
      <c r="F7" s="21">
        <v>30873</v>
      </c>
      <c r="G7" s="21">
        <v>51003</v>
      </c>
      <c r="H7" s="21">
        <v>18078</v>
      </c>
      <c r="I7" s="21">
        <v>38050</v>
      </c>
      <c r="J7" s="21">
        <v>-43148</v>
      </c>
      <c r="K7" s="21">
        <v>39888</v>
      </c>
      <c r="L7">
        <v>-600</v>
      </c>
    </row>
    <row r="8" spans="2:12" x14ac:dyDescent="0.3">
      <c r="B8" t="s">
        <v>91</v>
      </c>
      <c r="C8" s="21">
        <v>11030</v>
      </c>
      <c r="D8" s="21">
        <v>1815</v>
      </c>
      <c r="E8" s="21">
        <v>7829</v>
      </c>
      <c r="F8" s="21">
        <v>15463</v>
      </c>
      <c r="G8" s="21">
        <v>18538</v>
      </c>
      <c r="H8" s="21">
        <v>-28782</v>
      </c>
      <c r="I8" s="21">
        <v>17916</v>
      </c>
      <c r="J8" s="21">
        <v>-49958</v>
      </c>
      <c r="K8">
        <v>725</v>
      </c>
      <c r="L8" s="21">
        <v>-19634</v>
      </c>
    </row>
    <row r="9" spans="2:12" x14ac:dyDescent="0.3">
      <c r="B9" t="s">
        <v>92</v>
      </c>
      <c r="C9" s="21">
        <v>-6213</v>
      </c>
      <c r="D9" s="21">
        <v>-6435</v>
      </c>
      <c r="E9" s="21">
        <v>-8582</v>
      </c>
      <c r="F9" s="21">
        <v>-10083</v>
      </c>
      <c r="G9" s="21">
        <v>-9844</v>
      </c>
      <c r="H9" s="21">
        <v>-12191</v>
      </c>
      <c r="I9" s="21">
        <v>-8386</v>
      </c>
      <c r="J9" s="21">
        <v>-3213</v>
      </c>
      <c r="K9" s="21">
        <v>-3797</v>
      </c>
      <c r="L9" s="21">
        <v>-6297</v>
      </c>
    </row>
    <row r="10" spans="2:12" x14ac:dyDescent="0.3">
      <c r="B10" t="s">
        <v>152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>
        <v>0</v>
      </c>
      <c r="I10" s="21">
        <v>0</v>
      </c>
      <c r="J10" s="21">
        <v>0</v>
      </c>
      <c r="K10">
        <v>0</v>
      </c>
      <c r="L10">
        <v>0</v>
      </c>
    </row>
    <row r="11" spans="2:12" x14ac:dyDescent="0.3">
      <c r="C11" s="21"/>
      <c r="D11" s="21"/>
      <c r="E11" s="21"/>
      <c r="F11" s="21"/>
      <c r="G11" s="21"/>
      <c r="I11" s="21"/>
      <c r="J11" s="21"/>
    </row>
    <row r="12" spans="2:12" x14ac:dyDescent="0.3">
      <c r="B12" s="2" t="s">
        <v>93</v>
      </c>
      <c r="C12" s="23">
        <v>-73070</v>
      </c>
      <c r="D12" s="23">
        <v>-64706</v>
      </c>
      <c r="E12" s="23">
        <v>-36186</v>
      </c>
      <c r="F12" s="23">
        <v>-66201</v>
      </c>
      <c r="G12" s="23">
        <v>-68192</v>
      </c>
      <c r="H12" s="23">
        <v>-94507</v>
      </c>
      <c r="I12" s="23">
        <v>-72497</v>
      </c>
      <c r="J12" s="23">
        <v>-142385</v>
      </c>
      <c r="K12" s="23">
        <v>-109162</v>
      </c>
      <c r="L12" s="23">
        <v>-91235</v>
      </c>
    </row>
    <row r="13" spans="2:12" x14ac:dyDescent="0.3">
      <c r="B13" t="s">
        <v>94</v>
      </c>
      <c r="C13" s="21">
        <v>-60087</v>
      </c>
      <c r="D13" s="21">
        <v>-63364</v>
      </c>
      <c r="E13" s="21">
        <v>-46898</v>
      </c>
      <c r="F13" s="21">
        <v>-78109</v>
      </c>
      <c r="G13" s="21">
        <v>-73953</v>
      </c>
      <c r="H13" s="21">
        <v>-93626</v>
      </c>
      <c r="I13" s="21">
        <v>-76517</v>
      </c>
      <c r="J13" s="21">
        <v>-105837</v>
      </c>
      <c r="K13" s="21">
        <v>-100145</v>
      </c>
      <c r="L13" s="21">
        <v>-140988</v>
      </c>
    </row>
    <row r="14" spans="2:12" x14ac:dyDescent="0.3">
      <c r="B14" t="s">
        <v>95</v>
      </c>
      <c r="C14" s="21">
        <v>148</v>
      </c>
      <c r="D14" s="21">
        <v>402</v>
      </c>
      <c r="E14" s="21">
        <v>344</v>
      </c>
      <c r="F14" s="21">
        <v>1482</v>
      </c>
      <c r="G14" s="21">
        <v>999</v>
      </c>
      <c r="H14" s="21">
        <v>849</v>
      </c>
      <c r="I14" s="21">
        <v>964</v>
      </c>
      <c r="J14" s="21">
        <v>2319</v>
      </c>
      <c r="K14" s="21">
        <v>3137</v>
      </c>
      <c r="L14" s="21">
        <v>9186</v>
      </c>
    </row>
    <row r="15" spans="2:12" x14ac:dyDescent="0.3">
      <c r="B15" t="s">
        <v>96</v>
      </c>
      <c r="C15" s="21">
        <v>-765659</v>
      </c>
      <c r="D15" s="21">
        <v>-678241</v>
      </c>
      <c r="E15" s="21">
        <v>-715334</v>
      </c>
      <c r="F15" s="21">
        <v>-654760</v>
      </c>
      <c r="G15" s="21">
        <v>-533984</v>
      </c>
      <c r="H15" s="21">
        <v>-1105479</v>
      </c>
      <c r="I15" s="21">
        <v>-1156843</v>
      </c>
      <c r="J15" s="21">
        <v>-689866</v>
      </c>
      <c r="K15" s="21">
        <v>-667878</v>
      </c>
      <c r="L15" s="21">
        <v>-471822</v>
      </c>
    </row>
    <row r="16" spans="2:12" x14ac:dyDescent="0.3">
      <c r="B16" t="s">
        <v>97</v>
      </c>
      <c r="C16" s="21">
        <v>749849</v>
      </c>
      <c r="D16" s="21">
        <v>666383</v>
      </c>
      <c r="E16" s="21">
        <v>721182</v>
      </c>
      <c r="F16" s="21">
        <v>663990</v>
      </c>
      <c r="G16" s="21">
        <v>537504</v>
      </c>
      <c r="H16" s="21">
        <v>0</v>
      </c>
      <c r="I16" s="21">
        <v>0</v>
      </c>
      <c r="J16" s="21">
        <v>642551</v>
      </c>
      <c r="K16" s="21">
        <v>668137</v>
      </c>
      <c r="L16" s="21">
        <v>501266</v>
      </c>
    </row>
    <row r="17" spans="2:12" x14ac:dyDescent="0.3">
      <c r="B17" t="s">
        <v>98</v>
      </c>
      <c r="C17" s="21">
        <v>6413</v>
      </c>
      <c r="D17" s="21">
        <v>6055</v>
      </c>
      <c r="E17" s="21">
        <v>2942</v>
      </c>
      <c r="F17" s="21">
        <v>1110</v>
      </c>
      <c r="G17" s="21">
        <v>1310</v>
      </c>
      <c r="H17">
        <v>972</v>
      </c>
      <c r="I17" s="21">
        <v>1441</v>
      </c>
      <c r="J17" s="21">
        <v>8400</v>
      </c>
      <c r="K17" s="21">
        <v>5933</v>
      </c>
      <c r="L17" s="21">
        <v>11103</v>
      </c>
    </row>
    <row r="18" spans="2:12" x14ac:dyDescent="0.3">
      <c r="B18" t="s">
        <v>99</v>
      </c>
      <c r="C18">
        <v>316</v>
      </c>
      <c r="D18">
        <v>548</v>
      </c>
      <c r="E18">
        <v>732</v>
      </c>
      <c r="F18">
        <v>345</v>
      </c>
      <c r="G18" s="21">
        <v>1021</v>
      </c>
      <c r="H18">
        <v>501</v>
      </c>
      <c r="I18">
        <v>78</v>
      </c>
      <c r="J18">
        <v>26</v>
      </c>
      <c r="K18">
        <v>19</v>
      </c>
      <c r="L18">
        <v>20</v>
      </c>
    </row>
    <row r="19" spans="2:12" x14ac:dyDescent="0.3">
      <c r="B19" t="s">
        <v>100</v>
      </c>
      <c r="C19" s="21">
        <v>-4050</v>
      </c>
      <c r="D19" s="21">
        <v>3511</v>
      </c>
      <c r="E19" s="21">
        <v>846</v>
      </c>
      <c r="F19">
        <v>-259</v>
      </c>
      <c r="G19" s="21">
        <v>-1089</v>
      </c>
      <c r="H19" s="21">
        <v>1102276</v>
      </c>
      <c r="I19" s="21">
        <v>1158380</v>
      </c>
      <c r="J19">
        <v>22</v>
      </c>
      <c r="K19" s="21">
        <v>-18365</v>
      </c>
      <c r="L19">
        <v>0</v>
      </c>
    </row>
    <row r="20" spans="2:12" x14ac:dyDescent="0.3">
      <c r="C20" s="21"/>
      <c r="D20" s="21"/>
      <c r="E20" s="21"/>
      <c r="G20" s="21"/>
      <c r="H20" s="21"/>
      <c r="I20" s="21"/>
      <c r="K20" s="21"/>
    </row>
    <row r="21" spans="2:12" x14ac:dyDescent="0.3">
      <c r="B21" s="2" t="s">
        <v>101</v>
      </c>
      <c r="C21" s="23">
        <v>13713</v>
      </c>
      <c r="D21" s="23">
        <v>8444</v>
      </c>
      <c r="E21" s="23">
        <v>-3210</v>
      </c>
      <c r="F21" s="23">
        <v>8617</v>
      </c>
      <c r="G21" s="23">
        <v>-2001</v>
      </c>
      <c r="H21" s="23">
        <v>55906</v>
      </c>
      <c r="I21" s="23">
        <v>-2541</v>
      </c>
      <c r="J21" s="23">
        <v>101904</v>
      </c>
      <c r="K21" s="23">
        <v>17289</v>
      </c>
      <c r="L21" s="23">
        <v>10455</v>
      </c>
    </row>
    <row r="22" spans="2:12" x14ac:dyDescent="0.3">
      <c r="B22" t="s">
        <v>102</v>
      </c>
      <c r="C22">
        <v>188</v>
      </c>
      <c r="D22">
        <v>343</v>
      </c>
      <c r="E22">
        <v>288</v>
      </c>
      <c r="F22">
        <v>811</v>
      </c>
      <c r="G22">
        <v>406</v>
      </c>
      <c r="H22">
        <v>230</v>
      </c>
      <c r="I22">
        <v>129</v>
      </c>
      <c r="J22">
        <v>5</v>
      </c>
      <c r="K22">
        <v>5</v>
      </c>
      <c r="L22">
        <v>479</v>
      </c>
    </row>
    <row r="23" spans="2:12" x14ac:dyDescent="0.3">
      <c r="B23" t="s">
        <v>103</v>
      </c>
      <c r="C23" s="21">
        <v>42152</v>
      </c>
      <c r="D23" s="21">
        <v>29413</v>
      </c>
      <c r="E23" s="21">
        <v>34673</v>
      </c>
      <c r="F23" s="21">
        <v>31728</v>
      </c>
      <c r="G23" s="21">
        <v>36970</v>
      </c>
      <c r="H23" s="21">
        <v>106701</v>
      </c>
      <c r="I23" s="21">
        <v>53760</v>
      </c>
      <c r="J23" s="21">
        <v>46421</v>
      </c>
      <c r="K23" s="21">
        <v>99105</v>
      </c>
      <c r="L23" s="21">
        <v>67134</v>
      </c>
    </row>
    <row r="24" spans="2:12" x14ac:dyDescent="0.3">
      <c r="B24" t="s">
        <v>104</v>
      </c>
      <c r="C24" s="21">
        <v>-19835</v>
      </c>
      <c r="D24" s="21">
        <v>-11909</v>
      </c>
      <c r="E24" s="21">
        <v>-21693</v>
      </c>
      <c r="F24" s="21">
        <v>-18542</v>
      </c>
      <c r="G24" s="21">
        <v>-19813</v>
      </c>
      <c r="H24" s="21">
        <v>-20245</v>
      </c>
      <c r="I24" s="21">
        <v>-18179</v>
      </c>
      <c r="J24" s="21">
        <v>-116921</v>
      </c>
      <c r="K24" s="21">
        <v>-49493</v>
      </c>
      <c r="L24" s="21">
        <v>-29059</v>
      </c>
    </row>
    <row r="25" spans="2:12" x14ac:dyDescent="0.3">
      <c r="B25" t="s">
        <v>105</v>
      </c>
      <c r="C25" s="21">
        <v>-5619</v>
      </c>
      <c r="D25" s="21">
        <v>-6149</v>
      </c>
      <c r="E25" s="21">
        <v>-9224</v>
      </c>
      <c r="F25" s="21">
        <v>-12920</v>
      </c>
      <c r="G25" s="21">
        <v>-17669</v>
      </c>
      <c r="H25" s="21">
        <v>-23338</v>
      </c>
      <c r="I25" s="21">
        <v>-28508</v>
      </c>
      <c r="J25" s="21">
        <v>-18340</v>
      </c>
      <c r="K25" s="21">
        <v>-26349</v>
      </c>
      <c r="L25" s="21">
        <v>-21650</v>
      </c>
    </row>
    <row r="26" spans="2:12" x14ac:dyDescent="0.3">
      <c r="B26" t="s">
        <v>106</v>
      </c>
      <c r="C26" s="21">
        <v>-3123</v>
      </c>
      <c r="D26" s="21">
        <v>-3268</v>
      </c>
      <c r="E26" s="21">
        <v>-7259</v>
      </c>
      <c r="F26" s="21">
        <v>-53</v>
      </c>
      <c r="G26" s="21">
        <v>-3916</v>
      </c>
      <c r="H26" s="21">
        <v>-4282</v>
      </c>
      <c r="I26" s="21">
        <v>-4592</v>
      </c>
      <c r="J26" s="21">
        <v>-3921</v>
      </c>
      <c r="K26" s="21">
        <v>-4297</v>
      </c>
      <c r="L26" s="21">
        <v>-5083</v>
      </c>
    </row>
    <row r="27" spans="2:12" x14ac:dyDescent="0.3">
      <c r="B27" t="s">
        <v>107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-1062</v>
      </c>
      <c r="J27" s="21">
        <v>-1022</v>
      </c>
      <c r="K27" s="21">
        <v>-2132</v>
      </c>
      <c r="L27" s="21">
        <v>-2812</v>
      </c>
    </row>
    <row r="28" spans="2:12" x14ac:dyDescent="0.3">
      <c r="B28" t="s">
        <v>153</v>
      </c>
      <c r="C28" s="21">
        <v>17</v>
      </c>
      <c r="D28">
        <v>17</v>
      </c>
      <c r="E28">
        <v>8</v>
      </c>
      <c r="F28">
        <v>4</v>
      </c>
      <c r="G28" s="21">
        <v>15</v>
      </c>
      <c r="H28" s="21">
        <v>2</v>
      </c>
      <c r="I28">
        <v>1</v>
      </c>
      <c r="J28">
        <v>0</v>
      </c>
      <c r="K28">
        <v>0</v>
      </c>
      <c r="L28">
        <v>0</v>
      </c>
    </row>
    <row r="29" spans="2:12" x14ac:dyDescent="0.3">
      <c r="B29" t="s">
        <v>108</v>
      </c>
      <c r="C29">
        <v>-67</v>
      </c>
      <c r="D29">
        <v>-3</v>
      </c>
      <c r="E29">
        <v>-3</v>
      </c>
      <c r="F29" s="21">
        <v>7589</v>
      </c>
      <c r="G29" s="21">
        <v>2006</v>
      </c>
      <c r="H29" s="21">
        <v>-3162</v>
      </c>
      <c r="I29" s="21">
        <v>-4090</v>
      </c>
      <c r="J29" s="21">
        <v>195682</v>
      </c>
      <c r="K29">
        <v>450</v>
      </c>
      <c r="L29" s="21">
        <v>1446</v>
      </c>
    </row>
    <row r="30" spans="2:12" x14ac:dyDescent="0.3">
      <c r="B30" t="s">
        <v>20</v>
      </c>
      <c r="C30" s="21">
        <v>-16096</v>
      </c>
      <c r="D30" s="21">
        <v>-21888</v>
      </c>
      <c r="E30" s="21">
        <v>-1262</v>
      </c>
      <c r="F30" s="21">
        <v>-8034</v>
      </c>
      <c r="G30" s="21">
        <v>1266</v>
      </c>
      <c r="H30" s="21">
        <v>3745</v>
      </c>
      <c r="I30" s="21">
        <v>19839</v>
      </c>
      <c r="J30" s="21">
        <v>-13523</v>
      </c>
      <c r="K30" s="21">
        <v>18781</v>
      </c>
      <c r="L30" s="21">
        <v>34252</v>
      </c>
    </row>
    <row r="31" spans="2:12" x14ac:dyDescent="0.3">
      <c r="C31" s="21"/>
      <c r="D31" s="21"/>
      <c r="E31" s="21"/>
      <c r="F31" s="21"/>
      <c r="G31" s="21"/>
      <c r="H31" s="21"/>
      <c r="I31" s="21"/>
      <c r="J31" s="21"/>
    </row>
    <row r="32" spans="2:12" x14ac:dyDescent="0.3">
      <c r="C32" s="21"/>
      <c r="D32" s="21"/>
      <c r="E32" s="21"/>
      <c r="F32" s="21"/>
      <c r="G32" s="21"/>
      <c r="H32" s="21"/>
      <c r="I32" s="21"/>
      <c r="J32" s="21"/>
    </row>
    <row r="34" spans="2:10" x14ac:dyDescent="0.3">
      <c r="G34" s="21"/>
      <c r="H34" s="21"/>
      <c r="I34" s="21"/>
      <c r="J34" s="21"/>
    </row>
    <row r="35" spans="2:10" x14ac:dyDescent="0.3">
      <c r="I35" s="21"/>
      <c r="J35" s="21"/>
    </row>
    <row r="36" spans="2:10" x14ac:dyDescent="0.3">
      <c r="B36" s="22"/>
      <c r="C36" s="24"/>
      <c r="D36" s="24"/>
      <c r="E36" s="22"/>
      <c r="F36" s="24"/>
      <c r="G36" s="24"/>
      <c r="H36" s="24"/>
      <c r="I36" s="24"/>
      <c r="J3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</vt:lpstr>
      <vt:lpstr>Historical FS</vt:lpstr>
      <vt:lpstr>Ratio Analysis</vt:lpstr>
      <vt:lpstr>Forecasting</vt:lpstr>
      <vt:lpstr>Peer Analysis</vt:lpstr>
      <vt:lpstr>Data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Aniruddha</cp:lastModifiedBy>
  <cp:lastPrinted>2012-12-06T18:14:13Z</cp:lastPrinted>
  <dcterms:created xsi:type="dcterms:W3CDTF">2012-08-17T09:55:37Z</dcterms:created>
  <dcterms:modified xsi:type="dcterms:W3CDTF">2023-07-22T07:33:15Z</dcterms:modified>
</cp:coreProperties>
</file>