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ruddha\Downloads\"/>
    </mc:Choice>
  </mc:AlternateContent>
  <xr:revisionPtr revIDLastSave="0" documentId="13_ncr:1_{6B317EAD-BE69-41CF-B970-5C6DCB84DD1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inancials" sheetId="8" r:id="rId1"/>
    <sheet name="Historical FS" sheetId="7" r:id="rId2"/>
    <sheet name="Ratio Analysis" sheetId="11" r:id="rId3"/>
    <sheet name="Forecasting" sheetId="12" r:id="rId4"/>
    <sheet name="Peer Analysis" sheetId="13" r:id="rId5"/>
    <sheet name="Data" sheetId="9" r:id="rId6"/>
    <sheet name="Data Sheet" sheetId="6" r:id="rId7"/>
    <sheet name="Cash Flow Data" sheetId="10" r:id="rId8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" i="12" l="1" a="1"/>
  <c r="I13" i="12" s="1"/>
  <c r="D6" i="12" a="1"/>
  <c r="D8" i="12" s="1"/>
  <c r="L103" i="7"/>
  <c r="K103" i="7"/>
  <c r="J103" i="7"/>
  <c r="I103" i="7"/>
  <c r="H103" i="7"/>
  <c r="G103" i="7"/>
  <c r="F103" i="7"/>
  <c r="E103" i="7"/>
  <c r="D103" i="7"/>
  <c r="L102" i="7"/>
  <c r="K102" i="7"/>
  <c r="J102" i="7"/>
  <c r="I102" i="7"/>
  <c r="H102" i="7"/>
  <c r="G102" i="7"/>
  <c r="F102" i="7"/>
  <c r="E102" i="7"/>
  <c r="D102" i="7"/>
  <c r="L101" i="7"/>
  <c r="K101" i="7"/>
  <c r="J101" i="7"/>
  <c r="I101" i="7"/>
  <c r="H101" i="7"/>
  <c r="G101" i="7"/>
  <c r="F101" i="7"/>
  <c r="E101" i="7"/>
  <c r="D101" i="7"/>
  <c r="L100" i="7"/>
  <c r="K100" i="7"/>
  <c r="J100" i="7"/>
  <c r="I100" i="7"/>
  <c r="H100" i="7"/>
  <c r="G100" i="7"/>
  <c r="F100" i="7"/>
  <c r="E100" i="7"/>
  <c r="D100" i="7"/>
  <c r="L99" i="7"/>
  <c r="K99" i="7"/>
  <c r="J99" i="7"/>
  <c r="I99" i="7"/>
  <c r="H99" i="7"/>
  <c r="G99" i="7"/>
  <c r="F99" i="7"/>
  <c r="E99" i="7"/>
  <c r="D99" i="7"/>
  <c r="L98" i="7"/>
  <c r="K98" i="7"/>
  <c r="J98" i="7"/>
  <c r="I98" i="7"/>
  <c r="H98" i="7"/>
  <c r="G98" i="7"/>
  <c r="F98" i="7"/>
  <c r="E98" i="7"/>
  <c r="D98" i="7"/>
  <c r="L97" i="7"/>
  <c r="K97" i="7"/>
  <c r="J97" i="7"/>
  <c r="I97" i="7"/>
  <c r="H97" i="7"/>
  <c r="G97" i="7"/>
  <c r="F97" i="7"/>
  <c r="E97" i="7"/>
  <c r="D97" i="7"/>
  <c r="L96" i="7"/>
  <c r="K96" i="7"/>
  <c r="J96" i="7"/>
  <c r="I96" i="7"/>
  <c r="H96" i="7"/>
  <c r="G96" i="7"/>
  <c r="F96" i="7"/>
  <c r="E96" i="7"/>
  <c r="D96" i="7"/>
  <c r="L95" i="7"/>
  <c r="K95" i="7"/>
  <c r="J95" i="7"/>
  <c r="I95" i="7"/>
  <c r="H95" i="7"/>
  <c r="G95" i="7"/>
  <c r="F95" i="7"/>
  <c r="E95" i="7"/>
  <c r="D95" i="7"/>
  <c r="C103" i="7"/>
  <c r="C102" i="7"/>
  <c r="C101" i="7"/>
  <c r="C100" i="7"/>
  <c r="C99" i="7"/>
  <c r="C98" i="7"/>
  <c r="C97" i="7"/>
  <c r="C96" i="7"/>
  <c r="C95" i="7"/>
  <c r="L91" i="7"/>
  <c r="K91" i="7"/>
  <c r="J91" i="7"/>
  <c r="I91" i="7"/>
  <c r="H91" i="7"/>
  <c r="G91" i="7"/>
  <c r="F91" i="7"/>
  <c r="E91" i="7"/>
  <c r="D91" i="7"/>
  <c r="L90" i="7"/>
  <c r="K90" i="7"/>
  <c r="J90" i="7"/>
  <c r="I90" i="7"/>
  <c r="H90" i="7"/>
  <c r="G90" i="7"/>
  <c r="F90" i="7"/>
  <c r="E90" i="7"/>
  <c r="D90" i="7"/>
  <c r="L89" i="7"/>
  <c r="K89" i="7"/>
  <c r="J89" i="7"/>
  <c r="I89" i="7"/>
  <c r="H89" i="7"/>
  <c r="G89" i="7"/>
  <c r="F89" i="7"/>
  <c r="E89" i="7"/>
  <c r="D89" i="7"/>
  <c r="L88" i="7"/>
  <c r="K88" i="7"/>
  <c r="J88" i="7"/>
  <c r="I88" i="7"/>
  <c r="H88" i="7"/>
  <c r="G88" i="7"/>
  <c r="F88" i="7"/>
  <c r="E88" i="7"/>
  <c r="D88" i="7"/>
  <c r="L87" i="7"/>
  <c r="K87" i="7"/>
  <c r="J87" i="7"/>
  <c r="I87" i="7"/>
  <c r="H87" i="7"/>
  <c r="G87" i="7"/>
  <c r="F87" i="7"/>
  <c r="E87" i="7"/>
  <c r="D87" i="7"/>
  <c r="L86" i="7"/>
  <c r="K86" i="7"/>
  <c r="J86" i="7"/>
  <c r="I86" i="7"/>
  <c r="H86" i="7"/>
  <c r="G86" i="7"/>
  <c r="F86" i="7"/>
  <c r="E86" i="7"/>
  <c r="D86" i="7"/>
  <c r="L85" i="7"/>
  <c r="K85" i="7"/>
  <c r="J85" i="7"/>
  <c r="I85" i="7"/>
  <c r="H85" i="7"/>
  <c r="G85" i="7"/>
  <c r="F85" i="7"/>
  <c r="E85" i="7"/>
  <c r="D85" i="7"/>
  <c r="L84" i="7"/>
  <c r="K84" i="7"/>
  <c r="J84" i="7"/>
  <c r="I84" i="7"/>
  <c r="H84" i="7"/>
  <c r="G84" i="7"/>
  <c r="F84" i="7"/>
  <c r="E84" i="7"/>
  <c r="D84" i="7"/>
  <c r="L83" i="7"/>
  <c r="K83" i="7"/>
  <c r="J83" i="7"/>
  <c r="I83" i="7"/>
  <c r="H83" i="7"/>
  <c r="G83" i="7"/>
  <c r="F83" i="7"/>
  <c r="E83" i="7"/>
  <c r="D83" i="7"/>
  <c r="C91" i="7"/>
  <c r="C90" i="7"/>
  <c r="C89" i="7"/>
  <c r="C88" i="7"/>
  <c r="C87" i="7"/>
  <c r="C86" i="7"/>
  <c r="C85" i="7"/>
  <c r="C84" i="7"/>
  <c r="C83" i="7"/>
  <c r="L79" i="7"/>
  <c r="K79" i="7"/>
  <c r="J79" i="7"/>
  <c r="I79" i="7"/>
  <c r="H79" i="7"/>
  <c r="G79" i="7"/>
  <c r="F79" i="7"/>
  <c r="E79" i="7"/>
  <c r="D79" i="7"/>
  <c r="L78" i="7"/>
  <c r="K78" i="7"/>
  <c r="J78" i="7"/>
  <c r="I78" i="7"/>
  <c r="H78" i="7"/>
  <c r="G78" i="7"/>
  <c r="F78" i="7"/>
  <c r="E78" i="7"/>
  <c r="D78" i="7"/>
  <c r="L77" i="7"/>
  <c r="K77" i="7"/>
  <c r="J77" i="7"/>
  <c r="I77" i="7"/>
  <c r="H77" i="7"/>
  <c r="G77" i="7"/>
  <c r="F77" i="7"/>
  <c r="E77" i="7"/>
  <c r="D77" i="7"/>
  <c r="L76" i="7"/>
  <c r="K76" i="7"/>
  <c r="J76" i="7"/>
  <c r="I76" i="7"/>
  <c r="H76" i="7"/>
  <c r="G76" i="7"/>
  <c r="F76" i="7"/>
  <c r="E76" i="7"/>
  <c r="D76" i="7"/>
  <c r="L75" i="7"/>
  <c r="K75" i="7"/>
  <c r="J75" i="7"/>
  <c r="I75" i="7"/>
  <c r="H75" i="7"/>
  <c r="G75" i="7"/>
  <c r="F75" i="7"/>
  <c r="E75" i="7"/>
  <c r="D75" i="7"/>
  <c r="L74" i="7"/>
  <c r="K74" i="7"/>
  <c r="J74" i="7"/>
  <c r="I74" i="7"/>
  <c r="H74" i="7"/>
  <c r="G74" i="7"/>
  <c r="F74" i="7"/>
  <c r="E74" i="7"/>
  <c r="D74" i="7"/>
  <c r="L73" i="7"/>
  <c r="K73" i="7"/>
  <c r="J73" i="7"/>
  <c r="I73" i="7"/>
  <c r="H73" i="7"/>
  <c r="G73" i="7"/>
  <c r="F73" i="7"/>
  <c r="E73" i="7"/>
  <c r="D73" i="7"/>
  <c r="L72" i="7"/>
  <c r="K72" i="7"/>
  <c r="J72" i="7"/>
  <c r="I72" i="7"/>
  <c r="H72" i="7"/>
  <c r="G72" i="7"/>
  <c r="F72" i="7"/>
  <c r="E72" i="7"/>
  <c r="D72" i="7"/>
  <c r="L71" i="7"/>
  <c r="K71" i="7"/>
  <c r="J71" i="7"/>
  <c r="I71" i="7"/>
  <c r="H71" i="7"/>
  <c r="G71" i="7"/>
  <c r="F71" i="7"/>
  <c r="E71" i="7"/>
  <c r="D71" i="7"/>
  <c r="L70" i="7"/>
  <c r="K70" i="7"/>
  <c r="J70" i="7"/>
  <c r="I70" i="7"/>
  <c r="H70" i="7"/>
  <c r="G70" i="7"/>
  <c r="F70" i="7"/>
  <c r="E70" i="7"/>
  <c r="D70" i="7"/>
  <c r="C79" i="7"/>
  <c r="C78" i="7"/>
  <c r="C77" i="7"/>
  <c r="C76" i="7"/>
  <c r="C75" i="7"/>
  <c r="C74" i="7"/>
  <c r="C73" i="7"/>
  <c r="C72" i="7"/>
  <c r="C71" i="7"/>
  <c r="C70" i="7"/>
  <c r="I12" i="12" l="1"/>
  <c r="I15" i="12"/>
  <c r="I14" i="12"/>
  <c r="I6" i="12"/>
  <c r="I11" i="12"/>
  <c r="I10" i="12"/>
  <c r="I9" i="12"/>
  <c r="I8" i="12"/>
  <c r="I7" i="12"/>
  <c r="D15" i="12"/>
  <c r="D7" i="12"/>
  <c r="E8" i="12" s="1"/>
  <c r="D14" i="12"/>
  <c r="D6" i="12"/>
  <c r="D13" i="12"/>
  <c r="D12" i="12"/>
  <c r="E12" i="12" s="1"/>
  <c r="D11" i="12"/>
  <c r="D9" i="12"/>
  <c r="D10" i="12"/>
  <c r="E10" i="12" s="1"/>
  <c r="E9" i="12"/>
  <c r="E14" i="12"/>
  <c r="L4" i="12"/>
  <c r="L8" i="12"/>
  <c r="L9" i="12" s="1"/>
  <c r="L10" i="12" s="1"/>
  <c r="L11" i="12" s="1"/>
  <c r="L12" i="12" s="1"/>
  <c r="L13" i="12" s="1"/>
  <c r="L14" i="12" s="1"/>
  <c r="L15" i="12" s="1"/>
  <c r="L16" i="12" s="1"/>
  <c r="L7" i="12"/>
  <c r="M6" i="12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G4" i="12"/>
  <c r="H7" i="12"/>
  <c r="H8" i="12" s="1"/>
  <c r="H9" i="12" s="1"/>
  <c r="H10" i="12" s="1"/>
  <c r="H11" i="12" s="1"/>
  <c r="H12" i="12" s="1"/>
  <c r="H13" i="12" s="1"/>
  <c r="H14" i="12" s="1"/>
  <c r="H15" i="12" s="1"/>
  <c r="H16" i="12" s="1"/>
  <c r="H17" i="12" s="1"/>
  <c r="H18" i="12" s="1"/>
  <c r="H19" i="12" s="1"/>
  <c r="H20" i="12" s="1"/>
  <c r="G7" i="12"/>
  <c r="G8" i="12" s="1"/>
  <c r="G9" i="12" s="1"/>
  <c r="G10" i="12" s="1"/>
  <c r="G11" i="12" s="1"/>
  <c r="G12" i="12" s="1"/>
  <c r="G13" i="12" s="1"/>
  <c r="G14" i="12" s="1"/>
  <c r="G15" i="12" s="1"/>
  <c r="G16" i="12" s="1"/>
  <c r="H6" i="12"/>
  <c r="C6" i="12"/>
  <c r="C7" i="12" s="1"/>
  <c r="C8" i="12" s="1"/>
  <c r="C9" i="12" s="1"/>
  <c r="C10" i="12" s="1"/>
  <c r="C11" i="12" s="1"/>
  <c r="C12" i="12" s="1"/>
  <c r="C13" i="12" s="1"/>
  <c r="C14" i="12" s="1"/>
  <c r="C15" i="12" s="1"/>
  <c r="C16" i="12" s="1"/>
  <c r="C17" i="12" s="1"/>
  <c r="C18" i="12" s="1"/>
  <c r="C19" i="12" s="1"/>
  <c r="C20" i="12" s="1"/>
  <c r="B4" i="12"/>
  <c r="E15" i="12"/>
  <c r="E11" i="12"/>
  <c r="B7" i="12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E13" i="12" l="1"/>
  <c r="L17" i="12"/>
  <c r="G17" i="12"/>
  <c r="E7" i="12"/>
  <c r="D18" i="12" l="1"/>
  <c r="D17" i="12"/>
  <c r="D20" i="12"/>
  <c r="D19" i="12"/>
  <c r="E19" i="12" s="1"/>
  <c r="D16" i="12"/>
  <c r="E16" i="12" s="1"/>
  <c r="L18" i="12"/>
  <c r="G18" i="12"/>
  <c r="E20" i="12" l="1"/>
  <c r="E18" i="12"/>
  <c r="E17" i="12"/>
  <c r="L19" i="12"/>
  <c r="G19" i="12"/>
  <c r="L20" i="12" l="1"/>
  <c r="G20" i="12"/>
  <c r="L3" i="11" l="1"/>
  <c r="B2" i="11"/>
  <c r="K3" i="11"/>
  <c r="J3" i="11"/>
  <c r="I3" i="11"/>
  <c r="H3" i="11"/>
  <c r="G3" i="11"/>
  <c r="F3" i="11"/>
  <c r="E3" i="11"/>
  <c r="D3" i="11"/>
  <c r="C3" i="11"/>
  <c r="L113" i="7"/>
  <c r="K113" i="7"/>
  <c r="J113" i="7"/>
  <c r="I113" i="7"/>
  <c r="H113" i="7"/>
  <c r="G113" i="7"/>
  <c r="F113" i="7"/>
  <c r="E113" i="7"/>
  <c r="D113" i="7"/>
  <c r="C113" i="7"/>
  <c r="L112" i="7"/>
  <c r="K112" i="7"/>
  <c r="J112" i="7"/>
  <c r="I112" i="7"/>
  <c r="H112" i="7"/>
  <c r="G112" i="7"/>
  <c r="F112" i="7"/>
  <c r="E112" i="7"/>
  <c r="D112" i="7"/>
  <c r="C112" i="7"/>
  <c r="L111" i="7"/>
  <c r="K111" i="7"/>
  <c r="J111" i="7"/>
  <c r="I111" i="7"/>
  <c r="H111" i="7"/>
  <c r="G111" i="7"/>
  <c r="F111" i="7"/>
  <c r="E111" i="7"/>
  <c r="D111" i="7"/>
  <c r="C111" i="7"/>
  <c r="L110" i="7"/>
  <c r="K110" i="7"/>
  <c r="J110" i="7"/>
  <c r="I110" i="7"/>
  <c r="H110" i="7"/>
  <c r="G110" i="7"/>
  <c r="F110" i="7"/>
  <c r="E110" i="7"/>
  <c r="D110" i="7"/>
  <c r="C110" i="7"/>
  <c r="L56" i="7"/>
  <c r="K56" i="7"/>
  <c r="J56" i="7"/>
  <c r="I56" i="7"/>
  <c r="H56" i="7"/>
  <c r="G56" i="7"/>
  <c r="F56" i="7"/>
  <c r="E56" i="7"/>
  <c r="D56" i="7"/>
  <c r="C56" i="7"/>
  <c r="L61" i="7"/>
  <c r="K61" i="7"/>
  <c r="J61" i="7"/>
  <c r="I61" i="7"/>
  <c r="H61" i="7"/>
  <c r="G61" i="7"/>
  <c r="F61" i="7"/>
  <c r="E61" i="7"/>
  <c r="D61" i="7"/>
  <c r="C61" i="7"/>
  <c r="L60" i="7"/>
  <c r="K60" i="7"/>
  <c r="J60" i="7"/>
  <c r="I60" i="7"/>
  <c r="H60" i="7"/>
  <c r="G60" i="7"/>
  <c r="F60" i="7"/>
  <c r="E60" i="7"/>
  <c r="D60" i="7"/>
  <c r="C60" i="7"/>
  <c r="L59" i="7"/>
  <c r="K59" i="7"/>
  <c r="J59" i="7"/>
  <c r="I59" i="7"/>
  <c r="H59" i="7"/>
  <c r="G59" i="7"/>
  <c r="F59" i="7"/>
  <c r="E59" i="7"/>
  <c r="D59" i="7"/>
  <c r="C59" i="7"/>
  <c r="L55" i="7"/>
  <c r="K55" i="7"/>
  <c r="J55" i="7"/>
  <c r="I55" i="7"/>
  <c r="H55" i="7"/>
  <c r="G55" i="7"/>
  <c r="F55" i="7"/>
  <c r="E55" i="7"/>
  <c r="D55" i="7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C55" i="7"/>
  <c r="C54" i="7"/>
  <c r="C53" i="7"/>
  <c r="L50" i="7"/>
  <c r="K50" i="7"/>
  <c r="J50" i="7"/>
  <c r="I50" i="7"/>
  <c r="H50" i="7"/>
  <c r="G50" i="7"/>
  <c r="F50" i="7"/>
  <c r="E50" i="7"/>
  <c r="D50" i="7"/>
  <c r="C50" i="7"/>
  <c r="L49" i="7"/>
  <c r="K49" i="7"/>
  <c r="J49" i="7"/>
  <c r="I49" i="7"/>
  <c r="H49" i="7"/>
  <c r="G49" i="7"/>
  <c r="F49" i="7"/>
  <c r="E49" i="7"/>
  <c r="D49" i="7"/>
  <c r="C49" i="7"/>
  <c r="L48" i="7"/>
  <c r="K48" i="7"/>
  <c r="J48" i="7"/>
  <c r="I48" i="7"/>
  <c r="H48" i="7"/>
  <c r="G48" i="7"/>
  <c r="F48" i="7"/>
  <c r="E48" i="7"/>
  <c r="D48" i="7"/>
  <c r="C48" i="7"/>
  <c r="L47" i="7"/>
  <c r="K47" i="7"/>
  <c r="J47" i="7"/>
  <c r="I47" i="7"/>
  <c r="H47" i="7"/>
  <c r="G47" i="7"/>
  <c r="F47" i="7"/>
  <c r="E47" i="7"/>
  <c r="D47" i="7"/>
  <c r="C47" i="7"/>
  <c r="L36" i="7"/>
  <c r="L41" i="7" s="1"/>
  <c r="K36" i="7"/>
  <c r="K41" i="7" s="1"/>
  <c r="J36" i="7"/>
  <c r="J41" i="7" s="1"/>
  <c r="I36" i="7"/>
  <c r="I41" i="7" s="1"/>
  <c r="H36" i="7"/>
  <c r="H41" i="7" s="1"/>
  <c r="G36" i="7"/>
  <c r="G41" i="7" s="1"/>
  <c r="F36" i="7"/>
  <c r="F41" i="7" s="1"/>
  <c r="E36" i="7"/>
  <c r="E41" i="7" s="1"/>
  <c r="D36" i="7"/>
  <c r="D41" i="7" s="1"/>
  <c r="C36" i="7"/>
  <c r="C41" i="7" s="1"/>
  <c r="L30" i="7"/>
  <c r="K30" i="7"/>
  <c r="J30" i="7"/>
  <c r="I30" i="7"/>
  <c r="H30" i="7"/>
  <c r="G30" i="7"/>
  <c r="F30" i="7"/>
  <c r="E30" i="7"/>
  <c r="D30" i="7"/>
  <c r="C30" i="7"/>
  <c r="L24" i="7"/>
  <c r="K24" i="7"/>
  <c r="J24" i="7"/>
  <c r="I24" i="7"/>
  <c r="H24" i="7"/>
  <c r="G24" i="7"/>
  <c r="F24" i="7"/>
  <c r="E24" i="7"/>
  <c r="D24" i="7"/>
  <c r="C24" i="7"/>
  <c r="L21" i="7"/>
  <c r="K21" i="7"/>
  <c r="J21" i="7"/>
  <c r="I21" i="7"/>
  <c r="H21" i="7"/>
  <c r="G21" i="7"/>
  <c r="F21" i="7"/>
  <c r="E21" i="7"/>
  <c r="D21" i="7"/>
  <c r="C21" i="7"/>
  <c r="L15" i="7"/>
  <c r="K15" i="7"/>
  <c r="J15" i="7"/>
  <c r="I15" i="7"/>
  <c r="H15" i="7"/>
  <c r="G15" i="7"/>
  <c r="F15" i="7"/>
  <c r="E15" i="7"/>
  <c r="D15" i="7"/>
  <c r="C15" i="7"/>
  <c r="L9" i="7"/>
  <c r="K9" i="7"/>
  <c r="J9" i="7"/>
  <c r="I9" i="7"/>
  <c r="H9" i="7"/>
  <c r="G9" i="7"/>
  <c r="F9" i="7"/>
  <c r="E9" i="7"/>
  <c r="D9" i="7"/>
  <c r="C9" i="7"/>
  <c r="L6" i="7"/>
  <c r="K6" i="7"/>
  <c r="K25" i="7" s="1"/>
  <c r="K18" i="11" s="1"/>
  <c r="J6" i="7"/>
  <c r="I6" i="7"/>
  <c r="I28" i="11" s="1"/>
  <c r="I35" i="11" s="1"/>
  <c r="H6" i="7"/>
  <c r="H29" i="11" s="1"/>
  <c r="H36" i="11" s="1"/>
  <c r="G6" i="7"/>
  <c r="F6" i="7"/>
  <c r="E6" i="7"/>
  <c r="D6" i="7"/>
  <c r="C6" i="7"/>
  <c r="L3" i="7"/>
  <c r="K3" i="7"/>
  <c r="J3" i="7"/>
  <c r="I3" i="7"/>
  <c r="H3" i="7"/>
  <c r="G3" i="7"/>
  <c r="F3" i="7"/>
  <c r="E3" i="7"/>
  <c r="D3" i="7"/>
  <c r="C3" i="7"/>
  <c r="B2" i="7"/>
  <c r="L29" i="11" l="1"/>
  <c r="L36" i="11" s="1"/>
  <c r="I22" i="7"/>
  <c r="I9" i="11"/>
  <c r="D16" i="7"/>
  <c r="D17" i="11" s="1"/>
  <c r="F28" i="11"/>
  <c r="F35" i="11" s="1"/>
  <c r="L10" i="7"/>
  <c r="I12" i="7"/>
  <c r="I18" i="7" s="1"/>
  <c r="E16" i="7"/>
  <c r="E17" i="11" s="1"/>
  <c r="I25" i="7"/>
  <c r="I18" i="11" s="1"/>
  <c r="H62" i="7"/>
  <c r="F62" i="7"/>
  <c r="H41" i="11"/>
  <c r="H10" i="7"/>
  <c r="F16" i="7"/>
  <c r="F17" i="11" s="1"/>
  <c r="L22" i="7"/>
  <c r="J25" i="7"/>
  <c r="J18" i="11" s="1"/>
  <c r="E51" i="7"/>
  <c r="I41" i="11"/>
  <c r="G16" i="7"/>
  <c r="G17" i="11" s="1"/>
  <c r="C25" i="7"/>
  <c r="C18" i="11" s="1"/>
  <c r="F57" i="7"/>
  <c r="D10" i="7"/>
  <c r="J10" i="7"/>
  <c r="H16" i="7"/>
  <c r="H17" i="11" s="1"/>
  <c r="I51" i="7"/>
  <c r="E31" i="11"/>
  <c r="D39" i="11"/>
  <c r="F25" i="7"/>
  <c r="F18" i="11" s="1"/>
  <c r="G27" i="11"/>
  <c r="G34" i="11" s="1"/>
  <c r="F7" i="7"/>
  <c r="F5" i="11" s="1"/>
  <c r="H57" i="7"/>
  <c r="J12" i="7"/>
  <c r="J13" i="7" s="1"/>
  <c r="J11" i="11" s="1"/>
  <c r="F31" i="11"/>
  <c r="D22" i="7"/>
  <c r="J22" i="7"/>
  <c r="J7" i="7"/>
  <c r="J5" i="11" s="1"/>
  <c r="E22" i="7"/>
  <c r="D9" i="11"/>
  <c r="D57" i="7"/>
  <c r="L57" i="7"/>
  <c r="G62" i="7"/>
  <c r="E29" i="11"/>
  <c r="E36" i="11" s="1"/>
  <c r="I57" i="7"/>
  <c r="G41" i="11"/>
  <c r="J28" i="11"/>
  <c r="J35" i="11" s="1"/>
  <c r="F27" i="11"/>
  <c r="F34" i="11" s="1"/>
  <c r="J9" i="11"/>
  <c r="J31" i="11"/>
  <c r="F51" i="7"/>
  <c r="D30" i="11"/>
  <c r="G7" i="7"/>
  <c r="G5" i="11" s="1"/>
  <c r="D12" i="7"/>
  <c r="D13" i="7" s="1"/>
  <c r="D11" i="11" s="1"/>
  <c r="F22" i="7"/>
  <c r="D25" i="7"/>
  <c r="D18" i="11" s="1"/>
  <c r="L25" i="7"/>
  <c r="L18" i="11" s="1"/>
  <c r="C51" i="7"/>
  <c r="K51" i="7"/>
  <c r="I29" i="11"/>
  <c r="I36" i="11" s="1"/>
  <c r="J27" i="11"/>
  <c r="J34" i="11" s="1"/>
  <c r="E10" i="7"/>
  <c r="H39" i="11"/>
  <c r="F10" i="7"/>
  <c r="G12" i="7"/>
  <c r="G13" i="7" s="1"/>
  <c r="G11" i="11" s="1"/>
  <c r="I16" i="7"/>
  <c r="I17" i="11" s="1"/>
  <c r="G22" i="7"/>
  <c r="E25" i="7"/>
  <c r="E18" i="11" s="1"/>
  <c r="G57" i="7"/>
  <c r="J62" i="7"/>
  <c r="D41" i="11"/>
  <c r="L41" i="11"/>
  <c r="E28" i="11"/>
  <c r="E35" i="11" s="1"/>
  <c r="L39" i="11"/>
  <c r="I27" i="11"/>
  <c r="I34" i="11" s="1"/>
  <c r="G10" i="7"/>
  <c r="H12" i="7"/>
  <c r="H13" i="7" s="1"/>
  <c r="H11" i="11" s="1"/>
  <c r="J16" i="7"/>
  <c r="J17" i="11" s="1"/>
  <c r="H22" i="7"/>
  <c r="G92" i="7"/>
  <c r="E92" i="7"/>
  <c r="I92" i="7"/>
  <c r="L92" i="7"/>
  <c r="E80" i="7"/>
  <c r="I80" i="7"/>
  <c r="H92" i="7"/>
  <c r="D92" i="7"/>
  <c r="J80" i="7"/>
  <c r="F80" i="7"/>
  <c r="K80" i="7"/>
  <c r="J104" i="7"/>
  <c r="F104" i="7"/>
  <c r="C80" i="7"/>
  <c r="C104" i="7"/>
  <c r="K104" i="7"/>
  <c r="G104" i="7"/>
  <c r="F92" i="7"/>
  <c r="G9" i="11"/>
  <c r="K9" i="11"/>
  <c r="L9" i="11"/>
  <c r="C29" i="11"/>
  <c r="C28" i="11"/>
  <c r="C31" i="11"/>
  <c r="F9" i="11"/>
  <c r="D51" i="7"/>
  <c r="L51" i="7"/>
  <c r="L80" i="7"/>
  <c r="D104" i="7"/>
  <c r="L104" i="7"/>
  <c r="E9" i="11"/>
  <c r="D31" i="11"/>
  <c r="D28" i="11"/>
  <c r="D35" i="11" s="1"/>
  <c r="D27" i="11"/>
  <c r="D34" i="11" s="1"/>
  <c r="D7" i="7"/>
  <c r="D5" i="11" s="1"/>
  <c r="L31" i="11"/>
  <c r="L28" i="11"/>
  <c r="L35" i="11" s="1"/>
  <c r="L27" i="11"/>
  <c r="L34" i="11" s="1"/>
  <c r="L7" i="7"/>
  <c r="L5" i="11" s="1"/>
  <c r="L12" i="7"/>
  <c r="L13" i="7" s="1"/>
  <c r="L11" i="11" s="1"/>
  <c r="I10" i="7"/>
  <c r="G25" i="7"/>
  <c r="G18" i="11" s="1"/>
  <c r="E62" i="7"/>
  <c r="E57" i="7"/>
  <c r="E104" i="7"/>
  <c r="I39" i="11"/>
  <c r="H9" i="11"/>
  <c r="G30" i="11"/>
  <c r="F41" i="11"/>
  <c r="F39" i="11"/>
  <c r="D80" i="7"/>
  <c r="C10" i="7"/>
  <c r="K10" i="7"/>
  <c r="K16" i="7"/>
  <c r="K17" i="11" s="1"/>
  <c r="J51" i="7"/>
  <c r="J92" i="7"/>
  <c r="F30" i="11"/>
  <c r="H25" i="7"/>
  <c r="H18" i="11" s="1"/>
  <c r="G51" i="7"/>
  <c r="C62" i="7"/>
  <c r="K62" i="7"/>
  <c r="I62" i="7"/>
  <c r="G80" i="7"/>
  <c r="C92" i="7"/>
  <c r="K92" i="7"/>
  <c r="K39" i="11"/>
  <c r="C27" i="11"/>
  <c r="L30" i="11"/>
  <c r="K31" i="11"/>
  <c r="K29" i="11"/>
  <c r="K36" i="11" s="1"/>
  <c r="K28" i="11"/>
  <c r="K35" i="11" s="1"/>
  <c r="K27" i="11"/>
  <c r="K34" i="11" s="1"/>
  <c r="K12" i="7"/>
  <c r="K13" i="7" s="1"/>
  <c r="K11" i="11" s="1"/>
  <c r="F64" i="7"/>
  <c r="C16" i="7"/>
  <c r="C17" i="11" s="1"/>
  <c r="J39" i="11"/>
  <c r="J41" i="11"/>
  <c r="K30" i="11"/>
  <c r="G29" i="11"/>
  <c r="G36" i="11" s="1"/>
  <c r="G28" i="11"/>
  <c r="G35" i="11" s="1"/>
  <c r="G31" i="11"/>
  <c r="C12" i="7"/>
  <c r="C18" i="7" s="1"/>
  <c r="C22" i="7"/>
  <c r="K22" i="7"/>
  <c r="L16" i="7"/>
  <c r="L17" i="11" s="1"/>
  <c r="H51" i="7"/>
  <c r="J57" i="7"/>
  <c r="D62" i="7"/>
  <c r="D64" i="7" s="1"/>
  <c r="L62" i="7"/>
  <c r="H80" i="7"/>
  <c r="H104" i="7"/>
  <c r="C30" i="11"/>
  <c r="D29" i="11"/>
  <c r="D36" i="11" s="1"/>
  <c r="H28" i="11"/>
  <c r="H35" i="11" s="1"/>
  <c r="H27" i="11"/>
  <c r="H34" i="11" s="1"/>
  <c r="H7" i="7"/>
  <c r="H5" i="11" s="1"/>
  <c r="H30" i="11"/>
  <c r="H31" i="11"/>
  <c r="K7" i="7"/>
  <c r="K5" i="11" s="1"/>
  <c r="I104" i="7"/>
  <c r="E39" i="11"/>
  <c r="E41" i="11"/>
  <c r="E12" i="7"/>
  <c r="E18" i="7" s="1"/>
  <c r="E27" i="7" s="1"/>
  <c r="C57" i="7"/>
  <c r="K57" i="7"/>
  <c r="J29" i="11"/>
  <c r="J36" i="11" s="1"/>
  <c r="I30" i="11"/>
  <c r="C41" i="11"/>
  <c r="K41" i="11"/>
  <c r="F12" i="7"/>
  <c r="F18" i="7" s="1"/>
  <c r="F27" i="7" s="1"/>
  <c r="E7" i="7"/>
  <c r="E5" i="11" s="1"/>
  <c r="E27" i="11"/>
  <c r="E34" i="11" s="1"/>
  <c r="J30" i="11"/>
  <c r="I31" i="11"/>
  <c r="G39" i="11"/>
  <c r="F29" i="11"/>
  <c r="F36" i="11" s="1"/>
  <c r="E30" i="11"/>
  <c r="C39" i="11"/>
  <c r="I7" i="7"/>
  <c r="I5" i="11" s="1"/>
  <c r="G18" i="7"/>
  <c r="I13" i="7"/>
  <c r="I11" i="11" s="1"/>
  <c r="F37" i="11" l="1"/>
  <c r="L64" i="7"/>
  <c r="L40" i="11" s="1"/>
  <c r="E37" i="11"/>
  <c r="I19" i="7"/>
  <c r="I12" i="11" s="1"/>
  <c r="I25" i="11"/>
  <c r="I27" i="7"/>
  <c r="I31" i="7" s="1"/>
  <c r="I21" i="11"/>
  <c r="I13" i="11"/>
  <c r="I19" i="11" s="1"/>
  <c r="H64" i="7"/>
  <c r="H66" i="7" s="1"/>
  <c r="J18" i="7"/>
  <c r="D37" i="11"/>
  <c r="K18" i="7"/>
  <c r="K13" i="11" s="1"/>
  <c r="K19" i="11" s="1"/>
  <c r="J37" i="11"/>
  <c r="C64" i="7"/>
  <c r="C66" i="7" s="1"/>
  <c r="D18" i="7"/>
  <c r="D19" i="7" s="1"/>
  <c r="D12" i="11" s="1"/>
  <c r="J64" i="7"/>
  <c r="J66" i="7" s="1"/>
  <c r="L37" i="11"/>
  <c r="I37" i="11"/>
  <c r="G106" i="7"/>
  <c r="O18" i="11"/>
  <c r="O9" i="11"/>
  <c r="H37" i="11"/>
  <c r="K106" i="7"/>
  <c r="N18" i="11"/>
  <c r="C27" i="7"/>
  <c r="C28" i="7" s="1"/>
  <c r="C14" i="11" s="1"/>
  <c r="F66" i="7"/>
  <c r="E106" i="7"/>
  <c r="C13" i="7"/>
  <c r="C11" i="11" s="1"/>
  <c r="G64" i="7"/>
  <c r="G40" i="11" s="1"/>
  <c r="F13" i="7"/>
  <c r="F11" i="11" s="1"/>
  <c r="H18" i="7"/>
  <c r="H21" i="11" s="1"/>
  <c r="I64" i="7"/>
  <c r="I40" i="11" s="1"/>
  <c r="F106" i="7"/>
  <c r="K64" i="7"/>
  <c r="K66" i="7" s="1"/>
  <c r="F40" i="11"/>
  <c r="N9" i="11"/>
  <c r="G37" i="11"/>
  <c r="K37" i="11"/>
  <c r="C106" i="7"/>
  <c r="I106" i="7"/>
  <c r="J106" i="7"/>
  <c r="D40" i="11"/>
  <c r="D66" i="7"/>
  <c r="L66" i="7"/>
  <c r="K25" i="11"/>
  <c r="K19" i="7"/>
  <c r="K12" i="11" s="1"/>
  <c r="H19" i="7"/>
  <c r="H12" i="11" s="1"/>
  <c r="H6" i="11"/>
  <c r="H13" i="11"/>
  <c r="H19" i="11" s="1"/>
  <c r="N17" i="11"/>
  <c r="O17" i="11"/>
  <c r="O5" i="11"/>
  <c r="N5" i="11"/>
  <c r="F7" i="11"/>
  <c r="F28" i="7"/>
  <c r="F14" i="11" s="1"/>
  <c r="G27" i="7"/>
  <c r="G33" i="7" s="1"/>
  <c r="G13" i="11"/>
  <c r="G19" i="11" s="1"/>
  <c r="G6" i="11"/>
  <c r="G25" i="11"/>
  <c r="G19" i="7"/>
  <c r="G12" i="11" s="1"/>
  <c r="G21" i="11"/>
  <c r="C34" i="11"/>
  <c r="N27" i="11"/>
  <c r="O27" i="11"/>
  <c r="O41" i="11"/>
  <c r="N41" i="11"/>
  <c r="D25" i="11"/>
  <c r="D21" i="11"/>
  <c r="D13" i="11"/>
  <c r="D19" i="11" s="1"/>
  <c r="I28" i="7"/>
  <c r="I14" i="11" s="1"/>
  <c r="E25" i="11"/>
  <c r="E21" i="11"/>
  <c r="E19" i="7"/>
  <c r="E12" i="11" s="1"/>
  <c r="E6" i="11"/>
  <c r="E13" i="11"/>
  <c r="E19" i="11" s="1"/>
  <c r="H106" i="7"/>
  <c r="C40" i="11"/>
  <c r="F31" i="7"/>
  <c r="N31" i="11"/>
  <c r="O31" i="11"/>
  <c r="O30" i="11"/>
  <c r="N30" i="11"/>
  <c r="F13" i="11"/>
  <c r="F19" i="11" s="1"/>
  <c r="F6" i="11"/>
  <c r="F25" i="11"/>
  <c r="F21" i="11"/>
  <c r="F19" i="7"/>
  <c r="F12" i="11" s="1"/>
  <c r="L106" i="7"/>
  <c r="C35" i="11"/>
  <c r="N28" i="11"/>
  <c r="O28" i="11"/>
  <c r="J27" i="7"/>
  <c r="J13" i="11"/>
  <c r="J19" i="11" s="1"/>
  <c r="J6" i="11"/>
  <c r="J21" i="11"/>
  <c r="J25" i="11"/>
  <c r="J19" i="7"/>
  <c r="J12" i="11" s="1"/>
  <c r="E28" i="7"/>
  <c r="E14" i="11" s="1"/>
  <c r="E31" i="7"/>
  <c r="N39" i="11"/>
  <c r="O39" i="11"/>
  <c r="L18" i="7"/>
  <c r="E13" i="7"/>
  <c r="E11" i="11" s="1"/>
  <c r="C21" i="11"/>
  <c r="C25" i="11"/>
  <c r="C19" i="7"/>
  <c r="C12" i="11" s="1"/>
  <c r="C13" i="11"/>
  <c r="J40" i="11"/>
  <c r="E64" i="7"/>
  <c r="D106" i="7"/>
  <c r="C36" i="11"/>
  <c r="O29" i="11"/>
  <c r="N29" i="11"/>
  <c r="H27" i="7"/>
  <c r="K27" i="7"/>
  <c r="D27" i="7"/>
  <c r="E33" i="7"/>
  <c r="I33" i="7"/>
  <c r="F33" i="7"/>
  <c r="D6" i="11" l="1"/>
  <c r="H25" i="11"/>
  <c r="I6" i="11"/>
  <c r="H40" i="11"/>
  <c r="K21" i="11"/>
  <c r="K6" i="11"/>
  <c r="K40" i="11"/>
  <c r="C31" i="7"/>
  <c r="I66" i="7"/>
  <c r="G66" i="7"/>
  <c r="C33" i="7"/>
  <c r="C23" i="11" s="1"/>
  <c r="N11" i="11"/>
  <c r="O11" i="11"/>
  <c r="G8" i="11"/>
  <c r="G38" i="7"/>
  <c r="G34" i="7"/>
  <c r="G15" i="11" s="1"/>
  <c r="G23" i="11"/>
  <c r="E23" i="11"/>
  <c r="E34" i="7"/>
  <c r="E15" i="11" s="1"/>
  <c r="E38" i="7"/>
  <c r="O36" i="11"/>
  <c r="N36" i="11"/>
  <c r="G7" i="11"/>
  <c r="G28" i="7"/>
  <c r="G14" i="11" s="1"/>
  <c r="G31" i="7"/>
  <c r="D28" i="7"/>
  <c r="D14" i="11" s="1"/>
  <c r="D7" i="11"/>
  <c r="D31" i="7"/>
  <c r="O35" i="11"/>
  <c r="N35" i="11"/>
  <c r="C37" i="11"/>
  <c r="J7" i="11"/>
  <c r="J28" i="7"/>
  <c r="J14" i="11" s="1"/>
  <c r="J31" i="7"/>
  <c r="L19" i="7"/>
  <c r="L12" i="11" s="1"/>
  <c r="N12" i="11" s="1"/>
  <c r="L21" i="11"/>
  <c r="L25" i="11"/>
  <c r="N25" i="11" s="1"/>
  <c r="L13" i="11"/>
  <c r="L19" i="11" s="1"/>
  <c r="L6" i="11"/>
  <c r="K7" i="11"/>
  <c r="K28" i="7"/>
  <c r="K14" i="11" s="1"/>
  <c r="K31" i="7"/>
  <c r="I23" i="11"/>
  <c r="I34" i="7"/>
  <c r="I15" i="11" s="1"/>
  <c r="I38" i="7"/>
  <c r="N34" i="11"/>
  <c r="O34" i="11"/>
  <c r="C34" i="7"/>
  <c r="C15" i="11" s="1"/>
  <c r="E66" i="7"/>
  <c r="E40" i="11"/>
  <c r="F8" i="11"/>
  <c r="F34" i="7"/>
  <c r="F15" i="11" s="1"/>
  <c r="F23" i="11"/>
  <c r="F38" i="7"/>
  <c r="H28" i="7"/>
  <c r="H14" i="11" s="1"/>
  <c r="H31" i="7"/>
  <c r="H7" i="11"/>
  <c r="C19" i="11"/>
  <c r="L27" i="7"/>
  <c r="J33" i="7"/>
  <c r="E7" i="11"/>
  <c r="I7" i="11"/>
  <c r="H33" i="7"/>
  <c r="D33" i="7"/>
  <c r="E8" i="11" s="1"/>
  <c r="K33" i="7"/>
  <c r="N6" i="11" l="1"/>
  <c r="O21" i="11"/>
  <c r="C38" i="7"/>
  <c r="C42" i="7" s="1"/>
  <c r="N40" i="11"/>
  <c r="O40" i="11"/>
  <c r="J14" i="12"/>
  <c r="J8" i="12"/>
  <c r="J12" i="12"/>
  <c r="O6" i="11"/>
  <c r="O12" i="11"/>
  <c r="I19" i="12"/>
  <c r="J13" i="12"/>
  <c r="J9" i="12"/>
  <c r="I20" i="12"/>
  <c r="J7" i="12"/>
  <c r="J11" i="12"/>
  <c r="I16" i="12"/>
  <c r="J16" i="12" s="1"/>
  <c r="N21" i="11"/>
  <c r="I17" i="12"/>
  <c r="J15" i="12"/>
  <c r="I18" i="12"/>
  <c r="J10" i="12"/>
  <c r="L28" i="7"/>
  <c r="L14" i="11" s="1"/>
  <c r="N14" i="11" s="1"/>
  <c r="L7" i="11"/>
  <c r="O7" i="11" s="1"/>
  <c r="L31" i="7"/>
  <c r="O25" i="11"/>
  <c r="O13" i="11"/>
  <c r="F39" i="7"/>
  <c r="F44" i="7"/>
  <c r="F22" i="11" s="1"/>
  <c r="F24" i="11" s="1"/>
  <c r="F42" i="7"/>
  <c r="H34" i="7"/>
  <c r="H15" i="11" s="1"/>
  <c r="H38" i="7"/>
  <c r="H23" i="11"/>
  <c r="H8" i="11"/>
  <c r="C44" i="7"/>
  <c r="C22" i="11" s="1"/>
  <c r="N13" i="11"/>
  <c r="K34" i="7"/>
  <c r="K15" i="11" s="1"/>
  <c r="K8" i="11"/>
  <c r="K38" i="7"/>
  <c r="K23" i="11"/>
  <c r="O19" i="11"/>
  <c r="N19" i="11"/>
  <c r="D8" i="11"/>
  <c r="D38" i="7"/>
  <c r="D23" i="11"/>
  <c r="D34" i="7"/>
  <c r="D15" i="11" s="1"/>
  <c r="G39" i="7"/>
  <c r="G42" i="7"/>
  <c r="G44" i="7" s="1"/>
  <c r="G22" i="11" s="1"/>
  <c r="G24" i="11" s="1"/>
  <c r="E44" i="7"/>
  <c r="E22" i="11" s="1"/>
  <c r="E24" i="11" s="1"/>
  <c r="E42" i="7"/>
  <c r="I44" i="7"/>
  <c r="I22" i="11" s="1"/>
  <c r="I24" i="11" s="1"/>
  <c r="I42" i="7"/>
  <c r="L33" i="7"/>
  <c r="J34" i="7"/>
  <c r="J15" i="11" s="1"/>
  <c r="J8" i="11"/>
  <c r="J23" i="11"/>
  <c r="J38" i="7"/>
  <c r="I8" i="11"/>
  <c r="O37" i="11"/>
  <c r="N37" i="11"/>
  <c r="B6" i="6"/>
  <c r="E1" i="6"/>
  <c r="J19" i="12" l="1"/>
  <c r="J20" i="12"/>
  <c r="J17" i="12"/>
  <c r="N7" i="11"/>
  <c r="J18" i="12"/>
  <c r="O14" i="11"/>
  <c r="H39" i="7"/>
  <c r="H42" i="7"/>
  <c r="H44" i="7" s="1"/>
  <c r="H22" i="11" s="1"/>
  <c r="L34" i="7"/>
  <c r="L15" i="11" s="1"/>
  <c r="N15" i="11" s="1"/>
  <c r="L23" i="11"/>
  <c r="N23" i="11" s="1"/>
  <c r="L38" i="7"/>
  <c r="N6" i="12" s="1" a="1"/>
  <c r="L8" i="11"/>
  <c r="N8" i="11" s="1"/>
  <c r="C24" i="11"/>
  <c r="J44" i="7"/>
  <c r="J22" i="11" s="1"/>
  <c r="J24" i="11" s="1"/>
  <c r="J39" i="7"/>
  <c r="J42" i="7"/>
  <c r="D39" i="7"/>
  <c r="D44" i="7"/>
  <c r="D22" i="11" s="1"/>
  <c r="D24" i="11" s="1"/>
  <c r="D42" i="7"/>
  <c r="E39" i="7"/>
  <c r="K39" i="7"/>
  <c r="K44" i="7"/>
  <c r="K22" i="11" s="1"/>
  <c r="K24" i="11" s="1"/>
  <c r="K42" i="7"/>
  <c r="I39" i="7"/>
  <c r="N7" i="12" l="1"/>
  <c r="N8" i="12"/>
  <c r="N14" i="12"/>
  <c r="N12" i="12"/>
  <c r="N11" i="12"/>
  <c r="N9" i="12"/>
  <c r="N13" i="12"/>
  <c r="N10" i="12"/>
  <c r="N6" i="12"/>
  <c r="N15" i="12"/>
  <c r="O8" i="11"/>
  <c r="H24" i="11"/>
  <c r="L44" i="7"/>
  <c r="L22" i="11" s="1"/>
  <c r="L24" i="11" s="1"/>
  <c r="L39" i="7"/>
  <c r="L42" i="7"/>
  <c r="O15" i="11"/>
  <c r="O23" i="11"/>
  <c r="O15" i="12" l="1"/>
  <c r="O8" i="12"/>
  <c r="O12" i="12"/>
  <c r="O14" i="12"/>
  <c r="O7" i="12"/>
  <c r="O10" i="12"/>
  <c r="O13" i="12"/>
  <c r="N19" i="12"/>
  <c r="N17" i="12"/>
  <c r="N20" i="12"/>
  <c r="N18" i="12"/>
  <c r="N16" i="12"/>
  <c r="O16" i="12" s="1"/>
  <c r="O9" i="12"/>
  <c r="O11" i="12"/>
  <c r="O24" i="11"/>
  <c r="N24" i="11"/>
  <c r="N22" i="11"/>
  <c r="O22" i="11"/>
  <c r="O20" i="12" l="1"/>
  <c r="O19" i="12"/>
  <c r="O18" i="12"/>
  <c r="O17" i="12"/>
</calcChain>
</file>

<file path=xl/sharedStrings.xml><?xml version="1.0" encoding="utf-8"?>
<sst xmlns="http://schemas.openxmlformats.org/spreadsheetml/2006/main" count="245" uniqueCount="160">
  <si>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</si>
  <si>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</si>
  <si>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</si>
  <si>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</si>
  <si>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</si>
  <si>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</si>
  <si>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</si>
  <si>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</si>
  <si>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</si>
  <si>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Sales Growth</t>
  </si>
  <si>
    <t>Equity Share Capital</t>
  </si>
  <si>
    <t>Reserves</t>
  </si>
  <si>
    <t>Total</t>
  </si>
  <si>
    <t>Net Block</t>
  </si>
  <si>
    <t>Capital Work in Progress</t>
  </si>
  <si>
    <t>Investments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</si>
  <si>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</si>
  <si>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</si>
  <si>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</si>
  <si>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</si>
  <si>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</si>
  <si>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</si>
  <si>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</si>
  <si>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</si>
  <si>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</si>
  <si>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</si>
  <si>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</si>
  <si>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</si>
  <si>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</si>
  <si>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Inventory</t>
  </si>
  <si>
    <t>LATEST VERSION</t>
  </si>
  <si>
    <t>CURRENT VERSION</t>
  </si>
  <si>
    <t>TRENT LTD</t>
  </si>
  <si>
    <t>META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</si>
  <si>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</si>
  <si>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</si>
  <si>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</si>
  <si>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</si>
  <si>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</si>
  <si>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</si>
  <si>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</si>
  <si>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</si>
  <si>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</si>
  <si>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</si>
  <si>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</si>
  <si>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</si>
  <si>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</si>
  <si>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</si>
  <si>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</si>
  <si>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</si>
  <si>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</si>
  <si>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</si>
  <si>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</si>
  <si>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</si>
  <si>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 xml:space="preserve"> </t>
  </si>
  <si>
    <t>Years</t>
  </si>
  <si>
    <t>#</t>
  </si>
  <si>
    <t>Income Statement</t>
  </si>
  <si>
    <t>COGS</t>
  </si>
  <si>
    <t>COGS as % of Sales</t>
  </si>
  <si>
    <t>Gross Profit</t>
  </si>
  <si>
    <t>Gross Profit as % of Sales</t>
  </si>
  <si>
    <t>Selling &amp; General Expense</t>
  </si>
  <si>
    <t>S&amp;G as % of Sales</t>
  </si>
  <si>
    <t>EBITDA</t>
  </si>
  <si>
    <t>EBITDA Margin</t>
  </si>
  <si>
    <t>Interest as % of Sales</t>
  </si>
  <si>
    <t>Depreciation as % of Sales</t>
  </si>
  <si>
    <t>Earnings Before Tax</t>
  </si>
  <si>
    <t>EBT as % of Sales</t>
  </si>
  <si>
    <t>Efffective Tax Rate</t>
  </si>
  <si>
    <t>Net Profit</t>
  </si>
  <si>
    <t>Net Profit Margin</t>
  </si>
  <si>
    <t>NA</t>
  </si>
  <si>
    <t>No of Equity Shares</t>
  </si>
  <si>
    <t>Earnings Per Share</t>
  </si>
  <si>
    <t>EPS Growth Rate</t>
  </si>
  <si>
    <t>Dividend Per Share</t>
  </si>
  <si>
    <t>Dividend Payout Ratio</t>
  </si>
  <si>
    <t>Retained Earnings</t>
  </si>
  <si>
    <t>Balance Sheet</t>
  </si>
  <si>
    <t>Total Assets</t>
  </si>
  <si>
    <t>Total Non Current Assets</t>
  </si>
  <si>
    <t>Total Liabilities</t>
  </si>
  <si>
    <t>Total Current Assets</t>
  </si>
  <si>
    <t>Fiexed Assets Net Block</t>
  </si>
  <si>
    <t>Bal Check</t>
  </si>
  <si>
    <t>Cash Flow Statement</t>
  </si>
  <si>
    <t>Cash from Operating Activity -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</si>
  <si>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</si>
  <si>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</si>
  <si>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</si>
  <si>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</si>
  <si>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</si>
  <si>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</si>
  <si>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Cash from Investing Activity 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</si>
  <si>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</si>
  <si>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</si>
  <si>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</si>
  <si>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</si>
  <si>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</si>
  <si>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</si>
  <si>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Redemp n Canc of Shares</t>
  </si>
  <si>
    <t>Acquisition of companies</t>
  </si>
  <si>
    <t>Other investing items</t>
  </si>
  <si>
    <t>Cash from Financing Activity -</t>
  </si>
  <si>
    <t>Proceeds from shares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</si>
  <si>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</si>
  <si>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</si>
  <si>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</si>
  <si>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</si>
  <si>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</si>
  <si>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</si>
  <si>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 from Operating Activities</t>
  </si>
  <si>
    <t>Operating Activities</t>
  </si>
  <si>
    <t>Cash from Investing Activities</t>
  </si>
  <si>
    <t>Investing Activities</t>
  </si>
  <si>
    <t>Financing Activities</t>
  </si>
  <si>
    <t>Cash from Financing Activities</t>
  </si>
  <si>
    <t>Short Cash Flow</t>
  </si>
  <si>
    <t>EBITDA Growth</t>
  </si>
  <si>
    <t>Net Profit Growth</t>
  </si>
  <si>
    <t>Dividend Growth</t>
  </si>
  <si>
    <t>Gross Margin</t>
  </si>
  <si>
    <t>EBIT Margin</t>
  </si>
  <si>
    <t>EBT Margin</t>
  </si>
  <si>
    <t>EBT Growth</t>
  </si>
  <si>
    <t>Selling Exp as % of Sales</t>
  </si>
  <si>
    <t>Operating Exp as % of Sales</t>
  </si>
  <si>
    <t>Return on Capital Employed</t>
  </si>
  <si>
    <t>Retained Earnings %</t>
  </si>
  <si>
    <t xml:space="preserve">Return on Equity </t>
  </si>
  <si>
    <t>Interest Coverage Ratio</t>
  </si>
  <si>
    <t>Self Sustained Growth Rate (g=b*r)</t>
  </si>
  <si>
    <t>Debtor Turnover Ratio</t>
  </si>
  <si>
    <t>CreditorTurnover Ratio</t>
  </si>
  <si>
    <t>Inventory Turnover</t>
  </si>
  <si>
    <t>Fixed Asset Turnover</t>
  </si>
  <si>
    <t>Capital Turnover</t>
  </si>
  <si>
    <t>Debtor Days</t>
  </si>
  <si>
    <t>Payable Days</t>
  </si>
  <si>
    <t>Inventory Days</t>
  </si>
  <si>
    <t>(In Days)</t>
  </si>
  <si>
    <t>CFO/Sales</t>
  </si>
  <si>
    <t>CFO/Total Assets</t>
  </si>
  <si>
    <t>CFO/Total Debt (Borrowings)</t>
  </si>
  <si>
    <t>Cash Conversion Cycle (Days)</t>
  </si>
  <si>
    <t>Na</t>
  </si>
  <si>
    <t>Mean</t>
  </si>
  <si>
    <t>Median</t>
  </si>
  <si>
    <t>Trend</t>
  </si>
  <si>
    <t>Weight</t>
  </si>
  <si>
    <t>Year</t>
  </si>
  <si>
    <t>EPS</t>
  </si>
  <si>
    <t>EPS Growth</t>
  </si>
  <si>
    <t>main sheet TAMO</t>
  </si>
  <si>
    <t>Interest paid</t>
  </si>
  <si>
    <t>Exceptional CF items</t>
  </si>
  <si>
    <t>Share application money</t>
  </si>
  <si>
    <t>Application money 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</si>
</sst>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8" formatCode="&quot;₹&quot;\ #,##0.00;[Red]&quot;₹&quot;\ \-#,##0.00"/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&quot;₹&quot;\ #,##0.0;[Red]&quot;₹&quot;\ \-#,##0.0"/>
    <numFmt numFmtId="167" formatCode="&quot;₹&quot;\ #,##0.0;&quot;₹&quot;\ \(#,##0.0\)"/>
    <numFmt numFmtId="168" formatCode="&quot;₹&quot;\ #,##0.00"/>
    <numFmt numFmtId="169" formatCode="0.00\x"/>
    <numFmt numFmtId="170" formatCode="yyyy&quot;A&quot;"/>
    <numFmt numFmtId="171" formatCode="yyyy&quot;E&quot;"/>
    <numFmt numFmtId="172" formatCode="#,##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i/>
      <sz val="11"/>
      <color theme="1" tint="0.49998474074526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11"/>
      <color rgb="FF0000CC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theme="3" tint="0.39994506668294322"/>
      </top>
      <bottom/>
      <diagonal/>
    </border>
    <border>
      <left/>
      <right/>
      <top/>
      <bottom style="thin">
        <color theme="3" tint="0.39994506668294322"/>
      </bottom>
      <diagonal/>
    </border>
    <border>
      <left/>
      <right/>
      <top style="thin">
        <color theme="0" tint="-0.499984740745262"/>
      </top>
      <bottom style="thin">
        <color theme="3" tint="0.39994506668294322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167" fontId="3" fillId="0" borderId="0">
      <alignment horizontal="right"/>
    </xf>
    <xf numFmtId="9" fontId="3" fillId="0" borderId="0" applyFont="0" applyFill="0" applyBorder="0" applyAlignment="0" applyProtection="0"/>
  </cellStyleXfs>
  <cellXfs count="78">
    <xf numFmtId="0" fontId="0" fillId="0" borderId="0" xfId="0"/>
    <xf numFmtId="43" fontId="1" fillId="0" borderId="0" xfId="1" applyFont="1" applyBorder="1"/>
    <xf numFmtId="0" fontId="1" fillId="0" borderId="0" xfId="0" applyFont="1"/>
    <xf numFmtId="43" fontId="0" fillId="0" borderId="0" xfId="1" applyFont="1" applyBorder="1"/>
    <xf numFmtId="43" fontId="3" fillId="0" borderId="0" xfId="1" applyFont="1" applyBorder="1"/>
    <xf numFmtId="165" fontId="2" fillId="3" borderId="0" xfId="0" applyNumberFormat="1" applyFont="1" applyFill="1" applyAlignment="1">
      <alignment horizontal="center"/>
    </xf>
    <xf numFmtId="165" fontId="2" fillId="3" borderId="0" xfId="1" applyNumberFormat="1" applyFont="1" applyFill="1" applyBorder="1"/>
    <xf numFmtId="165" fontId="6" fillId="0" borderId="0" xfId="1" applyNumberFormat="1" applyFont="1" applyFill="1" applyBorder="1"/>
    <xf numFmtId="0" fontId="0" fillId="0" borderId="0" xfId="0" applyAlignment="1">
      <alignment horizontal="left"/>
    </xf>
    <xf numFmtId="164" fontId="0" fillId="0" borderId="0" xfId="1" applyNumberFormat="1" applyFont="1" applyBorder="1"/>
    <xf numFmtId="17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0" fontId="7" fillId="0" borderId="0" xfId="0" applyFont="1" applyAlignment="1">
      <alignment horizontal="left"/>
    </xf>
    <xf numFmtId="9" fontId="7" fillId="0" borderId="0" xfId="0" applyNumberFormat="1" applyFont="1" applyAlignment="1">
      <alignment horizontal="right"/>
    </xf>
    <xf numFmtId="10" fontId="7" fillId="0" borderId="0" xfId="0" applyNumberFormat="1" applyFon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0" fontId="1" fillId="0" borderId="1" xfId="0" applyFont="1" applyBorder="1"/>
    <xf numFmtId="3" fontId="1" fillId="0" borderId="0" xfId="0" applyNumberFormat="1" applyFont="1"/>
    <xf numFmtId="3" fontId="1" fillId="0" borderId="1" xfId="0" applyNumberFormat="1" applyFont="1" applyBorder="1"/>
    <xf numFmtId="0" fontId="1" fillId="0" borderId="1" xfId="0" applyFont="1" applyBorder="1" applyAlignment="1">
      <alignment horizontal="left"/>
    </xf>
    <xf numFmtId="167" fontId="1" fillId="0" borderId="1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166" fontId="1" fillId="0" borderId="2" xfId="0" applyNumberFormat="1" applyFont="1" applyBorder="1" applyAlignment="1">
      <alignment horizontal="right"/>
    </xf>
    <xf numFmtId="167" fontId="1" fillId="0" borderId="2" xfId="0" applyNumberFormat="1" applyFont="1" applyBorder="1" applyAlignment="1">
      <alignment horizontal="right"/>
    </xf>
    <xf numFmtId="43" fontId="1" fillId="0" borderId="2" xfId="1" applyFont="1" applyBorder="1"/>
    <xf numFmtId="9" fontId="9" fillId="0" borderId="1" xfId="0" applyNumberFormat="1" applyFont="1" applyBorder="1" applyAlignment="1">
      <alignment horizontal="right"/>
    </xf>
    <xf numFmtId="10" fontId="9" fillId="0" borderId="1" xfId="0" applyNumberFormat="1" applyFont="1" applyBorder="1" applyAlignment="1">
      <alignment horizontal="right"/>
    </xf>
    <xf numFmtId="0" fontId="5" fillId="5" borderId="0" xfId="0" applyFont="1" applyFill="1"/>
    <xf numFmtId="17" fontId="5" fillId="5" borderId="0" xfId="0" applyNumberFormat="1" applyFont="1" applyFill="1" applyAlignment="1">
      <alignment horizontal="right"/>
    </xf>
    <xf numFmtId="0" fontId="0" fillId="0" borderId="3" xfId="0" applyBorder="1" applyAlignment="1">
      <alignment horizontal="left"/>
    </xf>
    <xf numFmtId="9" fontId="0" fillId="0" borderId="3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8" fontId="0" fillId="0" borderId="2" xfId="0" applyNumberFormat="1" applyBorder="1" applyAlignment="1">
      <alignment horizontal="right"/>
    </xf>
    <xf numFmtId="167" fontId="3" fillId="0" borderId="2" xfId="4" applyBorder="1">
      <alignment horizontal="right"/>
    </xf>
    <xf numFmtId="0" fontId="8" fillId="0" borderId="3" xfId="0" applyFont="1" applyBorder="1" applyAlignment="1">
      <alignment horizontal="left"/>
    </xf>
    <xf numFmtId="0" fontId="8" fillId="0" borderId="3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167" fontId="1" fillId="0" borderId="5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167" fontId="1" fillId="0" borderId="0" xfId="0" applyNumberFormat="1" applyFont="1" applyAlignment="1">
      <alignment horizontal="right"/>
    </xf>
    <xf numFmtId="169" fontId="0" fillId="0" borderId="0" xfId="0" applyNumberFormat="1"/>
    <xf numFmtId="0" fontId="10" fillId="0" borderId="0" xfId="0" applyFont="1" applyAlignment="1">
      <alignment horizontal="left"/>
    </xf>
    <xf numFmtId="10" fontId="0" fillId="0" borderId="0" xfId="5" applyNumberFormat="1" applyFont="1" applyBorder="1"/>
    <xf numFmtId="0" fontId="0" fillId="0" borderId="7" xfId="0" applyBorder="1" applyAlignment="1">
      <alignment horizontal="left"/>
    </xf>
    <xf numFmtId="0" fontId="0" fillId="0" borderId="7" xfId="0" applyBorder="1"/>
    <xf numFmtId="10" fontId="0" fillId="0" borderId="7" xfId="5" applyNumberFormat="1" applyFont="1" applyBorder="1"/>
    <xf numFmtId="0" fontId="0" fillId="0" borderId="8" xfId="0" applyBorder="1" applyAlignment="1">
      <alignment horizontal="left"/>
    </xf>
    <xf numFmtId="0" fontId="0" fillId="0" borderId="8" xfId="0" applyBorder="1"/>
    <xf numFmtId="10" fontId="0" fillId="0" borderId="8" xfId="5" applyNumberFormat="1" applyFont="1" applyBorder="1"/>
    <xf numFmtId="10" fontId="0" fillId="0" borderId="8" xfId="0" applyNumberFormat="1" applyBorder="1"/>
    <xf numFmtId="169" fontId="0" fillId="0" borderId="8" xfId="0" applyNumberFormat="1" applyBorder="1"/>
    <xf numFmtId="169" fontId="0" fillId="0" borderId="7" xfId="0" applyNumberFormat="1" applyBorder="1"/>
    <xf numFmtId="0" fontId="0" fillId="0" borderId="9" xfId="0" applyBorder="1"/>
    <xf numFmtId="0" fontId="0" fillId="0" borderId="7" xfId="0" applyBorder="1" applyAlignment="1">
      <alignment horizontal="right"/>
    </xf>
    <xf numFmtId="1" fontId="0" fillId="0" borderId="0" xfId="0" applyNumberFormat="1"/>
    <xf numFmtId="1" fontId="0" fillId="0" borderId="7" xfId="0" applyNumberFormat="1" applyBorder="1"/>
    <xf numFmtId="1" fontId="0" fillId="0" borderId="8" xfId="0" applyNumberFormat="1" applyBorder="1"/>
    <xf numFmtId="17" fontId="5" fillId="5" borderId="0" xfId="0" applyNumberFormat="1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170" fontId="0" fillId="0" borderId="0" xfId="0" applyNumberFormat="1" applyAlignment="1">
      <alignment horizontal="right"/>
    </xf>
    <xf numFmtId="171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2" fontId="12" fillId="0" borderId="0" xfId="0" applyNumberFormat="1" applyFont="1" applyAlignment="1">
      <alignment horizontal="right"/>
    </xf>
    <xf numFmtId="0" fontId="0" fillId="8" borderId="0" xfId="0" applyFill="1" applyAlignment="1">
      <alignment horizontal="left"/>
    </xf>
    <xf numFmtId="171" fontId="0" fillId="8" borderId="0" xfId="0" applyNumberFormat="1" applyFill="1" applyAlignment="1">
      <alignment horizontal="right"/>
    </xf>
    <xf numFmtId="172" fontId="0" fillId="8" borderId="0" xfId="0" applyNumberFormat="1" applyFill="1" applyAlignment="1">
      <alignment horizontal="right"/>
    </xf>
    <xf numFmtId="10" fontId="0" fillId="8" borderId="0" xfId="0" applyNumberFormat="1" applyFill="1" applyAlignment="1">
      <alignment horizontal="right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5" fillId="7" borderId="0" xfId="0" applyFont="1" applyFill="1" applyAlignment="1">
      <alignment horizontal="center"/>
    </xf>
    <xf numFmtId="43" fontId="4" fillId="0" borderId="0" xfId="2" applyNumberFormat="1" applyBorder="1" applyAlignment="1" applyProtection="1">
      <alignment horizontal="center"/>
    </xf>
    <xf numFmtId="43" fontId="2" fillId="2" borderId="0" xfId="3" applyNumberFormat="1" applyFont="1" applyBorder="1" applyAlignment="1">
      <alignment horizontal="center"/>
    </xf>
  </cellXfs>
  <cellStyles count="6">
    <cellStyle name="Accent6" xfId="3" builtinId="49"/>
    <cellStyle name="Comma" xfId="1" builtinId="3"/>
    <cellStyle name="Hyperlink" xfId="2" builtinId="8"/>
    <cellStyle name="Negative Number" xfId="4" xr:uid="{2F1F85C9-C3DA-4531-90FA-608711A58DBD}"/>
    <cellStyle name="Normal" xfId="0" builtinId="0"/>
    <cellStyle name="Percent" xfId="5" builtinId="5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9" defaultPivotStyle="PivotStyleLight16"/>
  <colors>
    <mruColors>
      <color rgb="FF0000CC"/>
      <color rgb="FF000066"/>
      <color rgb="FF0066FF"/>
      <color rgb="FF003366"/>
      <color rgb="FF0000FF"/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6BD10-F054-4537-BE6D-DDDDB583A8FF}">
  <sheetPr>
    <tabColor theme="2" tint="-0.499984740745262"/>
  </sheetPr>
  <dimension ref="B2"/>
  <sheetViews>
    <sheetView showGridLines="0" workbookViewId="0">
      <selection activeCell="D3" sqref="D3"/>
    </sheetView>
  </sheetViews>
  <sheetFormatPr defaultRowHeight="14.4" x14ac:dyDescent="0.3"/>
  <sheetData>
    <row r="2" spans="2:2" x14ac:dyDescent="0.3">
      <c r="B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2E5D8-BC2D-4F92-A927-FB62C21A98EF}">
  <sheetPr>
    <tabColor rgb="FFFFC000"/>
  </sheetPr>
  <dimension ref="A1:O113"/>
  <sheetViews>
    <sheetView showGridLines="0" tabSelected="1" zoomScaleNormal="100" workbookViewId="0">
      <pane ySplit="3" topLeftCell="A5" activePane="bottomLeft" state="frozen"/>
      <selection pane="bottomLeft"/>
    </sheetView>
  </sheetViews>
  <sheetFormatPr defaultRowHeight="14.4" x14ac:dyDescent="0.3"/>
  <cols>
    <col min="1" max="1" width="1.88671875" customWidth="1"/>
    <col min="2" max="2" width="30.77734375" style="8" customWidth="1"/>
    <col min="3" max="3" width="14.77734375" style="13" customWidth="1"/>
    <col min="4" max="12" width="14" style="13" customWidth="1"/>
  </cols>
  <sheetData>
    <row r="1" spans="1:12" x14ac:dyDescent="0.3">
      <c r="B1"/>
      <c r="C1"/>
      <c r="D1"/>
      <c r="E1"/>
      <c r="F1"/>
      <c r="G1"/>
      <c r="H1"/>
      <c r="I1"/>
      <c r="J1"/>
      <c r="K1"/>
      <c r="L1"/>
    </row>
    <row r="2" spans="1:12" x14ac:dyDescent="0.3">
      <c r="B2" s="73" t="str">
        <f>"Historical Financial Statements - "&amp;'Data Sheet'!B1</f>
        <v>Historical Financial Statements - TRENT LTD</v>
      </c>
      <c r="C2" s="73"/>
      <c r="D2" s="73"/>
      <c r="E2" s="73"/>
      <c r="F2" s="73"/>
      <c r="G2" s="73"/>
      <c r="H2" s="73"/>
      <c r="I2" s="73"/>
      <c r="J2" s="73"/>
      <c r="K2" s="73"/>
      <c r="L2" s="73"/>
    </row>
    <row r="3" spans="1:12" x14ac:dyDescent="0.3">
      <c r="B3" s="33" t="s">
        <v>55</v>
      </c>
      <c r="C3" s="34">
        <f>'Data Sheet'!B16</f>
        <v>41729</v>
      </c>
      <c r="D3" s="34">
        <f>'Data Sheet'!C16</f>
        <v>42094</v>
      </c>
      <c r="E3" s="34">
        <f>'Data Sheet'!D16</f>
        <v>42460</v>
      </c>
      <c r="F3" s="34">
        <f>'Data Sheet'!E16</f>
        <v>42825</v>
      </c>
      <c r="G3" s="34">
        <f>'Data Sheet'!F16</f>
        <v>43190</v>
      </c>
      <c r="H3" s="34">
        <f>'Data Sheet'!G16</f>
        <v>43555</v>
      </c>
      <c r="I3" s="34">
        <f>'Data Sheet'!H16</f>
        <v>43921</v>
      </c>
      <c r="J3" s="34">
        <f>'Data Sheet'!I16</f>
        <v>44286</v>
      </c>
      <c r="K3" s="34">
        <f>'Data Sheet'!J16</f>
        <v>44651</v>
      </c>
      <c r="L3" s="34">
        <f>'Data Sheet'!K16</f>
        <v>45016</v>
      </c>
    </row>
    <row r="4" spans="1:12" s="11" customFormat="1" x14ac:dyDescent="0.3"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x14ac:dyDescent="0.3">
      <c r="A5" t="s">
        <v>56</v>
      </c>
      <c r="B5" s="74" t="s">
        <v>57</v>
      </c>
      <c r="C5" s="74"/>
      <c r="D5" s="74"/>
      <c r="E5" s="74"/>
      <c r="F5" s="74"/>
      <c r="G5" s="74"/>
      <c r="H5" s="74"/>
      <c r="I5" s="74"/>
      <c r="J5" s="74"/>
      <c r="K5" s="74"/>
      <c r="L5" s="74"/>
    </row>
    <row r="6" spans="1:12" x14ac:dyDescent="0.3">
      <c r="B6" s="8" t="s">
        <v>0</v>
      </c>
      <c r="C6" s="14">
        <f>IFERROR('Data Sheet'!B17,0)</f>
        <v>2332.98</v>
      </c>
      <c r="D6" s="14">
        <f>IFERROR('Data Sheet'!C17,0)</f>
        <v>2284.25</v>
      </c>
      <c r="E6" s="14">
        <f>IFERROR('Data Sheet'!D17,0)</f>
        <v>1686.17</v>
      </c>
      <c r="F6" s="14">
        <f>IFERROR('Data Sheet'!E17,0)</f>
        <v>1812.44</v>
      </c>
      <c r="G6" s="14">
        <f>IFERROR('Data Sheet'!F17,0)</f>
        <v>2157.46</v>
      </c>
      <c r="H6" s="14">
        <f>IFERROR('Data Sheet'!G17,0)</f>
        <v>2630.24</v>
      </c>
      <c r="I6" s="14">
        <f>IFERROR('Data Sheet'!H17,0)</f>
        <v>3485.98</v>
      </c>
      <c r="J6" s="14">
        <f>IFERROR('Data Sheet'!I17,0)</f>
        <v>2592.96</v>
      </c>
      <c r="K6" s="14">
        <f>IFERROR('Data Sheet'!J17,0)</f>
        <v>4498.0200000000004</v>
      </c>
      <c r="L6" s="14">
        <f>IFERROR('Data Sheet'!K17,0)</f>
        <v>8242.02</v>
      </c>
    </row>
    <row r="7" spans="1:12" x14ac:dyDescent="0.3">
      <c r="B7" s="15" t="s">
        <v>9</v>
      </c>
      <c r="C7" s="16" t="s">
        <v>73</v>
      </c>
      <c r="D7" s="17">
        <f>D6/C6-1</f>
        <v>-2.0887448670798725E-2</v>
      </c>
      <c r="E7" s="17">
        <f t="shared" ref="E7:L7" si="0">E6/D6-1</f>
        <v>-0.26182773339170407</v>
      </c>
      <c r="F7" s="17">
        <f t="shared" si="0"/>
        <v>7.4885687682736624E-2</v>
      </c>
      <c r="G7" s="17">
        <f t="shared" si="0"/>
        <v>0.19036216371300574</v>
      </c>
      <c r="H7" s="17">
        <f t="shared" si="0"/>
        <v>0.21913731888424337</v>
      </c>
      <c r="I7" s="17">
        <f t="shared" si="0"/>
        <v>0.32534673641949041</v>
      </c>
      <c r="J7" s="17">
        <f t="shared" si="0"/>
        <v>-0.25617473422107984</v>
      </c>
      <c r="K7" s="17">
        <f t="shared" si="0"/>
        <v>0.73470473898556099</v>
      </c>
      <c r="L7" s="17">
        <f t="shared" si="0"/>
        <v>0.83236624114610414</v>
      </c>
    </row>
    <row r="9" spans="1:12" x14ac:dyDescent="0.3">
      <c r="B9" s="8" t="s">
        <v>58</v>
      </c>
      <c r="C9" s="14">
        <f>IFERROR(SUM('Data Sheet'!B18,'Data Sheet'!B20:B22)-1*('Data Sheet'!B19),0)</f>
        <v>1812.85</v>
      </c>
      <c r="D9" s="14">
        <f>IFERROR(SUM('Data Sheet'!C18,'Data Sheet'!C20:C22)-1*('Data Sheet'!C19),0)</f>
        <v>1667.97</v>
      </c>
      <c r="E9" s="14">
        <f>IFERROR(SUM('Data Sheet'!D18,'Data Sheet'!D20:D22)-1*('Data Sheet'!D19),0)</f>
        <v>1086.6400000000001</v>
      </c>
      <c r="F9" s="14">
        <f>IFERROR(SUM('Data Sheet'!E18,'Data Sheet'!E20:E22)-1*('Data Sheet'!E19),0)</f>
        <v>1209.2700000000002</v>
      </c>
      <c r="G9" s="14">
        <f>IFERROR(SUM('Data Sheet'!F18,'Data Sheet'!F20:F22)-1*('Data Sheet'!F19),0)</f>
        <v>1408.06</v>
      </c>
      <c r="H9" s="14">
        <f>IFERROR(SUM('Data Sheet'!G18,'Data Sheet'!G20:G22)-1*('Data Sheet'!G19),0)</f>
        <v>1781.6</v>
      </c>
      <c r="I9" s="14">
        <f>IFERROR(SUM('Data Sheet'!H18,'Data Sheet'!H20:H22)-1*('Data Sheet'!H19),0)</f>
        <v>2406.9100000000003</v>
      </c>
      <c r="J9" s="14">
        <f>IFERROR(SUM('Data Sheet'!I18,'Data Sheet'!I20:I22)-1*('Data Sheet'!I19),0)</f>
        <v>1978.8100000000004</v>
      </c>
      <c r="K9" s="14">
        <f>IFERROR(SUM('Data Sheet'!J18,'Data Sheet'!J20:J22)-1*('Data Sheet'!J19),0)</f>
        <v>3083.49</v>
      </c>
      <c r="L9" s="14">
        <f>IFERROR(SUM('Data Sheet'!K18,'Data Sheet'!K20:K22)-1*('Data Sheet'!K19),0)</f>
        <v>5735.079999999999</v>
      </c>
    </row>
    <row r="10" spans="1:12" x14ac:dyDescent="0.3">
      <c r="B10" s="15" t="s">
        <v>59</v>
      </c>
      <c r="C10" s="17">
        <f>C9/C6</f>
        <v>0.77705338236933019</v>
      </c>
      <c r="D10" s="17">
        <f t="shared" ref="D10:L10" si="1">D9/D6</f>
        <v>0.73020466236182557</v>
      </c>
      <c r="E10" s="17">
        <f t="shared" si="1"/>
        <v>0.64444273115996609</v>
      </c>
      <c r="F10" s="17">
        <f t="shared" si="1"/>
        <v>0.66720553507978209</v>
      </c>
      <c r="G10" s="17">
        <f t="shared" si="1"/>
        <v>0.65264709426825984</v>
      </c>
      <c r="H10" s="17">
        <f t="shared" si="1"/>
        <v>0.67735263702171666</v>
      </c>
      <c r="I10" s="17">
        <f t="shared" si="1"/>
        <v>0.69045433421878499</v>
      </c>
      <c r="J10" s="17">
        <f t="shared" si="1"/>
        <v>0.76314713686289048</v>
      </c>
      <c r="K10" s="17">
        <f t="shared" si="1"/>
        <v>0.68552162951698736</v>
      </c>
      <c r="L10" s="17">
        <f t="shared" si="1"/>
        <v>0.6958342736368025</v>
      </c>
    </row>
    <row r="12" spans="1:12" x14ac:dyDescent="0.3">
      <c r="B12" s="27" t="s">
        <v>60</v>
      </c>
      <c r="C12" s="28">
        <f>IFERROR(C6-C9,0)</f>
        <v>520.13000000000011</v>
      </c>
      <c r="D12" s="28">
        <f t="shared" ref="D12:L12" si="2">IFERROR(D6-D9,0)</f>
        <v>616.28</v>
      </c>
      <c r="E12" s="28">
        <f t="shared" si="2"/>
        <v>599.53</v>
      </c>
      <c r="F12" s="28">
        <f t="shared" si="2"/>
        <v>603.16999999999985</v>
      </c>
      <c r="G12" s="28">
        <f t="shared" si="2"/>
        <v>749.40000000000009</v>
      </c>
      <c r="H12" s="28">
        <f t="shared" si="2"/>
        <v>848.63999999999987</v>
      </c>
      <c r="I12" s="28">
        <f t="shared" si="2"/>
        <v>1079.0699999999997</v>
      </c>
      <c r="J12" s="28">
        <f t="shared" si="2"/>
        <v>614.14999999999964</v>
      </c>
      <c r="K12" s="28">
        <f t="shared" si="2"/>
        <v>1414.5300000000007</v>
      </c>
      <c r="L12" s="28">
        <f t="shared" si="2"/>
        <v>2506.9400000000014</v>
      </c>
    </row>
    <row r="13" spans="1:12" x14ac:dyDescent="0.3">
      <c r="B13" s="15" t="s">
        <v>61</v>
      </c>
      <c r="C13" s="17">
        <f>C12/C6</f>
        <v>0.22294661763066984</v>
      </c>
      <c r="D13" s="17">
        <f t="shared" ref="D13:L13" si="3">D12/D6</f>
        <v>0.26979533763817443</v>
      </c>
      <c r="E13" s="17">
        <f t="shared" si="3"/>
        <v>0.35555726884003391</v>
      </c>
      <c r="F13" s="17">
        <f t="shared" si="3"/>
        <v>0.33279446492021797</v>
      </c>
      <c r="G13" s="17">
        <f t="shared" si="3"/>
        <v>0.34735290573174016</v>
      </c>
      <c r="H13" s="17">
        <f t="shared" si="3"/>
        <v>0.32264736297828334</v>
      </c>
      <c r="I13" s="17">
        <f t="shared" si="3"/>
        <v>0.30954566578121495</v>
      </c>
      <c r="J13" s="17">
        <f t="shared" si="3"/>
        <v>0.23685286313710957</v>
      </c>
      <c r="K13" s="17">
        <f t="shared" si="3"/>
        <v>0.31447837048301264</v>
      </c>
      <c r="L13" s="17">
        <f t="shared" si="3"/>
        <v>0.30416572636319755</v>
      </c>
    </row>
    <row r="15" spans="1:12" x14ac:dyDescent="0.3">
      <c r="B15" s="8" t="s">
        <v>62</v>
      </c>
      <c r="C15" s="14">
        <f>IFERROR(SUM('Data Sheet'!B23:B24),0)</f>
        <v>530.1</v>
      </c>
      <c r="D15" s="14">
        <f>IFERROR(SUM('Data Sheet'!C23:C24),0)</f>
        <v>528.48</v>
      </c>
      <c r="E15" s="14">
        <f>IFERROR(SUM('Data Sheet'!D23:D24),0)</f>
        <v>509.77</v>
      </c>
      <c r="F15" s="14">
        <f>IFERROR(SUM('Data Sheet'!E23:E24),0)</f>
        <v>469.64</v>
      </c>
      <c r="G15" s="14">
        <f>IFERROR(SUM('Data Sheet'!F23:F24),0)</f>
        <v>540.9</v>
      </c>
      <c r="H15" s="14">
        <f>IFERROR(SUM('Data Sheet'!G23:G24),0)</f>
        <v>608</v>
      </c>
      <c r="I15" s="14">
        <f>IFERROR(SUM('Data Sheet'!H23:H24),0)</f>
        <v>550.1</v>
      </c>
      <c r="J15" s="14">
        <f>IFERROR(SUM('Data Sheet'!I23:I24),0)</f>
        <v>500.28</v>
      </c>
      <c r="K15" s="14">
        <f>IFERROR(SUM('Data Sheet'!J23:J24),0)</f>
        <v>819.81</v>
      </c>
      <c r="L15" s="14">
        <f>IFERROR(SUM('Data Sheet'!K23:K24),0)</f>
        <v>1392.79</v>
      </c>
    </row>
    <row r="16" spans="1:12" x14ac:dyDescent="0.3">
      <c r="B16" s="15" t="s">
        <v>63</v>
      </c>
      <c r="C16" s="17">
        <f>C15/C6</f>
        <v>0.22722012190417407</v>
      </c>
      <c r="D16" s="17">
        <f t="shared" ref="D16:L16" si="4">D15/D6</f>
        <v>0.23135821385575134</v>
      </c>
      <c r="E16" s="17">
        <f t="shared" si="4"/>
        <v>0.30232420218601919</v>
      </c>
      <c r="F16" s="17">
        <f t="shared" si="4"/>
        <v>0.25912030191344265</v>
      </c>
      <c r="G16" s="17">
        <f t="shared" si="4"/>
        <v>0.25071148480157218</v>
      </c>
      <c r="H16" s="17">
        <f t="shared" si="4"/>
        <v>0.23115761299349111</v>
      </c>
      <c r="I16" s="17">
        <f t="shared" si="4"/>
        <v>0.1578035444839041</v>
      </c>
      <c r="J16" s="17">
        <f t="shared" si="4"/>
        <v>0.19293780081451312</v>
      </c>
      <c r="K16" s="17">
        <f t="shared" si="4"/>
        <v>0.18226019448557362</v>
      </c>
      <c r="L16" s="17">
        <f t="shared" si="4"/>
        <v>0.16898648632252772</v>
      </c>
    </row>
    <row r="18" spans="2:12" x14ac:dyDescent="0.3">
      <c r="B18" s="27" t="s">
        <v>64</v>
      </c>
      <c r="C18" s="28">
        <f>IFERROR(C12-C15,0)</f>
        <v>-9.9699999999999136</v>
      </c>
      <c r="D18" s="28">
        <f t="shared" ref="D18:L18" si="5">IFERROR(D12-D15,0)</f>
        <v>87.799999999999955</v>
      </c>
      <c r="E18" s="28">
        <f t="shared" si="5"/>
        <v>89.759999999999991</v>
      </c>
      <c r="F18" s="28">
        <f t="shared" si="5"/>
        <v>133.52999999999986</v>
      </c>
      <c r="G18" s="28">
        <f t="shared" si="5"/>
        <v>208.50000000000011</v>
      </c>
      <c r="H18" s="28">
        <f t="shared" si="5"/>
        <v>240.63999999999987</v>
      </c>
      <c r="I18" s="28">
        <f t="shared" si="5"/>
        <v>528.96999999999969</v>
      </c>
      <c r="J18" s="28">
        <f t="shared" si="5"/>
        <v>113.86999999999966</v>
      </c>
      <c r="K18" s="28">
        <f t="shared" si="5"/>
        <v>594.72000000000071</v>
      </c>
      <c r="L18" s="28">
        <f t="shared" si="5"/>
        <v>1114.1500000000015</v>
      </c>
    </row>
    <row r="19" spans="2:12" x14ac:dyDescent="0.3">
      <c r="B19" s="15" t="s">
        <v>65</v>
      </c>
      <c r="C19" s="17">
        <f>C18/C6</f>
        <v>-4.2735042735042366E-3</v>
      </c>
      <c r="D19" s="17">
        <f t="shared" ref="D19:L19" si="6">D18/D6</f>
        <v>3.8437123782423095E-2</v>
      </c>
      <c r="E19" s="17">
        <f t="shared" si="6"/>
        <v>5.3233066654014713E-2</v>
      </c>
      <c r="F19" s="17">
        <f t="shared" si="6"/>
        <v>7.3674163006775317E-2</v>
      </c>
      <c r="G19" s="17">
        <f t="shared" si="6"/>
        <v>9.6641420930167934E-2</v>
      </c>
      <c r="H19" s="17">
        <f t="shared" si="6"/>
        <v>9.1489749984792215E-2</v>
      </c>
      <c r="I19" s="17">
        <f t="shared" si="6"/>
        <v>0.15174212129731085</v>
      </c>
      <c r="J19" s="17">
        <f t="shared" si="6"/>
        <v>4.391506232259644E-2</v>
      </c>
      <c r="K19" s="17">
        <f t="shared" si="6"/>
        <v>0.13221817599743901</v>
      </c>
      <c r="L19" s="17">
        <f t="shared" si="6"/>
        <v>0.13517924004066981</v>
      </c>
    </row>
    <row r="21" spans="2:12" x14ac:dyDescent="0.3">
      <c r="B21" s="8" t="s">
        <v>5</v>
      </c>
      <c r="C21" s="14">
        <f>IFERROR('Data Sheet'!B27,0)</f>
        <v>25.87</v>
      </c>
      <c r="D21" s="14">
        <f>IFERROR('Data Sheet'!C27,0)</f>
        <v>21.97</v>
      </c>
      <c r="E21" s="14">
        <f>IFERROR('Data Sheet'!D27,0)</f>
        <v>47.73</v>
      </c>
      <c r="F21" s="14">
        <f>IFERROR('Data Sheet'!E27,0)</f>
        <v>45.55</v>
      </c>
      <c r="G21" s="14">
        <f>IFERROR('Data Sheet'!F27,0)</f>
        <v>43.78</v>
      </c>
      <c r="H21" s="14">
        <f>IFERROR('Data Sheet'!G27,0)</f>
        <v>50.64</v>
      </c>
      <c r="I21" s="14">
        <f>IFERROR('Data Sheet'!H27,0)</f>
        <v>263.37</v>
      </c>
      <c r="J21" s="14">
        <f>IFERROR('Data Sheet'!I27,0)</f>
        <v>260.79000000000002</v>
      </c>
      <c r="K21" s="14">
        <f>IFERROR('Data Sheet'!J27,0)</f>
        <v>324.83999999999997</v>
      </c>
      <c r="L21" s="14">
        <f>IFERROR('Data Sheet'!K27,0)</f>
        <v>408.99</v>
      </c>
    </row>
    <row r="22" spans="2:12" x14ac:dyDescent="0.3">
      <c r="B22" s="15" t="s">
        <v>66</v>
      </c>
      <c r="C22" s="17">
        <f>C21/C6</f>
        <v>1.1088822021620417E-2</v>
      </c>
      <c r="D22" s="17">
        <f t="shared" ref="D22:L22" si="7">D21/D6</f>
        <v>9.6180365546678342E-3</v>
      </c>
      <c r="E22" s="17">
        <f t="shared" si="7"/>
        <v>2.8306754360473734E-2</v>
      </c>
      <c r="F22" s="17">
        <f t="shared" si="7"/>
        <v>2.51318664341992E-2</v>
      </c>
      <c r="G22" s="17">
        <f t="shared" si="7"/>
        <v>2.0292380855264986E-2</v>
      </c>
      <c r="H22" s="17">
        <f t="shared" si="7"/>
        <v>1.9252995924326298E-2</v>
      </c>
      <c r="I22" s="17">
        <f t="shared" si="7"/>
        <v>7.5551207981686644E-2</v>
      </c>
      <c r="J22" s="17">
        <f t="shared" si="7"/>
        <v>0.10057617549055906</v>
      </c>
      <c r="K22" s="17">
        <f t="shared" si="7"/>
        <v>7.2218442781490505E-2</v>
      </c>
      <c r="L22" s="17">
        <f t="shared" si="7"/>
        <v>4.9622543988002941E-2</v>
      </c>
    </row>
    <row r="24" spans="2:12" x14ac:dyDescent="0.3">
      <c r="B24" s="8" t="s">
        <v>4</v>
      </c>
      <c r="C24" s="14">
        <f>IFERROR('Data Sheet'!B26,0)</f>
        <v>53.62</v>
      </c>
      <c r="D24" s="14">
        <f>IFERROR('Data Sheet'!C26,0)</f>
        <v>74.7</v>
      </c>
      <c r="E24" s="14">
        <f>IFERROR('Data Sheet'!D26,0)</f>
        <v>38.590000000000003</v>
      </c>
      <c r="F24" s="14">
        <f>IFERROR('Data Sheet'!E26,0)</f>
        <v>41.29</v>
      </c>
      <c r="G24" s="14">
        <f>IFERROR('Data Sheet'!F26,0)</f>
        <v>45.53</v>
      </c>
      <c r="H24" s="14">
        <f>IFERROR('Data Sheet'!G26,0)</f>
        <v>51.67</v>
      </c>
      <c r="I24" s="14">
        <f>IFERROR('Data Sheet'!H26,0)</f>
        <v>247.24</v>
      </c>
      <c r="J24" s="14">
        <f>IFERROR('Data Sheet'!I26,0)</f>
        <v>257.3</v>
      </c>
      <c r="K24" s="14">
        <f>IFERROR('Data Sheet'!J26,0)</f>
        <v>310.82</v>
      </c>
      <c r="L24" s="14">
        <f>IFERROR('Data Sheet'!K26,0)</f>
        <v>493.69</v>
      </c>
    </row>
    <row r="25" spans="2:12" x14ac:dyDescent="0.3">
      <c r="B25" s="15" t="s">
        <v>67</v>
      </c>
      <c r="C25" s="17">
        <f>C24/C6</f>
        <v>2.2983480355596702E-2</v>
      </c>
      <c r="D25" s="17">
        <f t="shared" ref="D25:L25" si="8">D24/D6</f>
        <v>3.2702199846776844E-2</v>
      </c>
      <c r="E25" s="17">
        <f t="shared" si="8"/>
        <v>2.288618585314648E-2</v>
      </c>
      <c r="F25" s="17">
        <f t="shared" si="8"/>
        <v>2.278144379951888E-2</v>
      </c>
      <c r="G25" s="17">
        <f t="shared" si="8"/>
        <v>2.1103519879858722E-2</v>
      </c>
      <c r="H25" s="17">
        <f t="shared" si="8"/>
        <v>1.9644595170022511E-2</v>
      </c>
      <c r="I25" s="17">
        <f t="shared" si="8"/>
        <v>7.092410168733039E-2</v>
      </c>
      <c r="J25" s="17">
        <f t="shared" si="8"/>
        <v>9.9230223374058998E-2</v>
      </c>
      <c r="K25" s="17">
        <f t="shared" si="8"/>
        <v>6.9101515778053443E-2</v>
      </c>
      <c r="L25" s="17">
        <f t="shared" si="8"/>
        <v>5.9899150936299592E-2</v>
      </c>
    </row>
    <row r="27" spans="2:12" x14ac:dyDescent="0.3">
      <c r="B27" s="27" t="s">
        <v>68</v>
      </c>
      <c r="C27" s="28">
        <f>IFERROR(C18-SUM(C21+C24),0)</f>
        <v>-89.459999999999908</v>
      </c>
      <c r="D27" s="28">
        <f t="shared" ref="D27:L27" si="9">IFERROR(D18-SUM(D21+D24),0)</f>
        <v>-8.8700000000000472</v>
      </c>
      <c r="E27" s="28">
        <f t="shared" si="9"/>
        <v>3.4399999999999977</v>
      </c>
      <c r="F27" s="28">
        <f t="shared" si="9"/>
        <v>46.689999999999856</v>
      </c>
      <c r="G27" s="28">
        <f t="shared" si="9"/>
        <v>119.19000000000011</v>
      </c>
      <c r="H27" s="29">
        <f t="shared" si="9"/>
        <v>138.32999999999987</v>
      </c>
      <c r="I27" s="29">
        <f t="shared" si="9"/>
        <v>18.359999999999673</v>
      </c>
      <c r="J27" s="28">
        <f t="shared" si="9"/>
        <v>-404.22000000000037</v>
      </c>
      <c r="K27" s="29">
        <f t="shared" si="9"/>
        <v>-40.939999999999259</v>
      </c>
      <c r="L27" s="29">
        <f t="shared" si="9"/>
        <v>211.47000000000139</v>
      </c>
    </row>
    <row r="28" spans="2:12" x14ac:dyDescent="0.3">
      <c r="B28" s="15" t="s">
        <v>69</v>
      </c>
      <c r="C28" s="17">
        <f>C27/C6</f>
        <v>-3.8345806650721355E-2</v>
      </c>
      <c r="D28" s="17">
        <f t="shared" ref="D28:L28" si="10">D27/D6</f>
        <v>-3.8831126190215812E-3</v>
      </c>
      <c r="E28" s="17">
        <f t="shared" si="10"/>
        <v>2.0401264403945023E-3</v>
      </c>
      <c r="F28" s="17">
        <f t="shared" si="10"/>
        <v>2.5760852773057234E-2</v>
      </c>
      <c r="G28" s="17">
        <f t="shared" si="10"/>
        <v>5.5245520195044223E-2</v>
      </c>
      <c r="H28" s="17">
        <f t="shared" si="10"/>
        <v>5.2592158890443413E-2</v>
      </c>
      <c r="I28" s="17">
        <f t="shared" si="10"/>
        <v>5.2668116282938151E-3</v>
      </c>
      <c r="J28" s="17">
        <f t="shared" si="10"/>
        <v>-0.15589133654202161</v>
      </c>
      <c r="K28" s="17">
        <f t="shared" si="10"/>
        <v>-9.1017825621049382E-3</v>
      </c>
      <c r="L28" s="17">
        <f t="shared" si="10"/>
        <v>2.565754511636727E-2</v>
      </c>
    </row>
    <row r="30" spans="2:12" x14ac:dyDescent="0.3">
      <c r="B30" s="8" t="s">
        <v>7</v>
      </c>
      <c r="C30" s="14">
        <f>IFERROR('Data Sheet'!B29,0)</f>
        <v>20.22</v>
      </c>
      <c r="D30" s="14">
        <f>IFERROR('Data Sheet'!C29,0)</f>
        <v>70.069999999999993</v>
      </c>
      <c r="E30" s="14">
        <f>IFERROR('Data Sheet'!D29,0)</f>
        <v>34.71</v>
      </c>
      <c r="F30" s="14">
        <f>IFERROR('Data Sheet'!E29,0)</f>
        <v>43.05</v>
      </c>
      <c r="G30" s="14">
        <f>IFERROR('Data Sheet'!F29,0)</f>
        <v>59.62</v>
      </c>
      <c r="H30" s="18">
        <f>IFERROR('Data Sheet'!G29,0)</f>
        <v>73.61</v>
      </c>
      <c r="I30" s="14">
        <f>IFERROR('Data Sheet'!H29,0)</f>
        <v>59.01</v>
      </c>
      <c r="J30" s="14">
        <f>IFERROR('Data Sheet'!I29,0)</f>
        <v>-23.69</v>
      </c>
      <c r="K30" s="14">
        <f>IFERROR('Data Sheet'!J29,0)</f>
        <v>76.62</v>
      </c>
      <c r="L30" s="14">
        <f>IFERROR('Data Sheet'!K29,0)</f>
        <v>158.44</v>
      </c>
    </row>
    <row r="31" spans="2:12" x14ac:dyDescent="0.3">
      <c r="B31" s="15" t="s">
        <v>70</v>
      </c>
      <c r="C31" s="17">
        <f>C30/C27</f>
        <v>-0.22602280348759243</v>
      </c>
      <c r="D31" s="17">
        <f t="shared" ref="D31:L31" si="11">D30/D27</f>
        <v>-7.8996617812851886</v>
      </c>
      <c r="E31" s="17">
        <f t="shared" si="11"/>
        <v>10.090116279069774</v>
      </c>
      <c r="F31" s="17">
        <f t="shared" si="11"/>
        <v>0.92203898050974786</v>
      </c>
      <c r="G31" s="17">
        <f t="shared" si="11"/>
        <v>0.50020974914002803</v>
      </c>
      <c r="H31" s="17">
        <f t="shared" si="11"/>
        <v>0.53213330441697437</v>
      </c>
      <c r="I31" s="17">
        <f t="shared" si="11"/>
        <v>3.2140522875817568</v>
      </c>
      <c r="J31" s="17">
        <f t="shared" si="11"/>
        <v>5.8606699322151255E-2</v>
      </c>
      <c r="K31" s="17">
        <f t="shared" si="11"/>
        <v>-1.8715192965315435</v>
      </c>
      <c r="L31" s="17">
        <f t="shared" si="11"/>
        <v>0.74923156948975722</v>
      </c>
    </row>
    <row r="33" spans="1:12" x14ac:dyDescent="0.3">
      <c r="B33" s="27" t="s">
        <v>71</v>
      </c>
      <c r="C33" s="28">
        <f>IFERROR(C27-C30,0)</f>
        <v>-109.67999999999991</v>
      </c>
      <c r="D33" s="28">
        <f t="shared" ref="D33:L33" si="12">IFERROR(D27-D30,0)</f>
        <v>-78.94000000000004</v>
      </c>
      <c r="E33" s="28">
        <f t="shared" si="12"/>
        <v>-31.270000000000003</v>
      </c>
      <c r="F33" s="28">
        <f t="shared" si="12"/>
        <v>3.6399999999998585</v>
      </c>
      <c r="G33" s="28">
        <f t="shared" si="12"/>
        <v>59.570000000000114</v>
      </c>
      <c r="H33" s="29">
        <f t="shared" si="12"/>
        <v>64.719999999999871</v>
      </c>
      <c r="I33" s="29">
        <f t="shared" si="12"/>
        <v>-40.650000000000325</v>
      </c>
      <c r="J33" s="29">
        <f t="shared" si="12"/>
        <v>-380.53000000000037</v>
      </c>
      <c r="K33" s="29">
        <f t="shared" si="12"/>
        <v>-117.55999999999926</v>
      </c>
      <c r="L33" s="29">
        <f t="shared" si="12"/>
        <v>53.030000000001394</v>
      </c>
    </row>
    <row r="34" spans="1:12" x14ac:dyDescent="0.3">
      <c r="B34" s="15" t="s">
        <v>72</v>
      </c>
      <c r="C34" s="17">
        <f>C33/C6</f>
        <v>-4.7012833371910562E-2</v>
      </c>
      <c r="D34" s="17">
        <f t="shared" ref="D34:L34" si="13">D33/D6</f>
        <v>-3.4558388967932598E-2</v>
      </c>
      <c r="E34" s="17">
        <f t="shared" si="13"/>
        <v>-1.8544986567190735E-2</v>
      </c>
      <c r="F34" s="17">
        <f t="shared" si="13"/>
        <v>2.0083423451258296E-3</v>
      </c>
      <c r="G34" s="17">
        <f t="shared" si="13"/>
        <v>2.76111723971708E-2</v>
      </c>
      <c r="H34" s="17">
        <f t="shared" si="13"/>
        <v>2.4606119593649202E-2</v>
      </c>
      <c r="I34" s="17">
        <f t="shared" si="13"/>
        <v>-1.1660996333886117E-2</v>
      </c>
      <c r="J34" s="17">
        <f t="shared" si="13"/>
        <v>-0.14675505985437506</v>
      </c>
      <c r="K34" s="17">
        <f t="shared" si="13"/>
        <v>-2.6135944259918643E-2</v>
      </c>
      <c r="L34" s="17">
        <f t="shared" si="13"/>
        <v>6.4341023195771656E-3</v>
      </c>
    </row>
    <row r="36" spans="1:12" x14ac:dyDescent="0.3">
      <c r="B36" s="8" t="s">
        <v>74</v>
      </c>
      <c r="C36" s="13">
        <f>IFERROR('Data Sheet'!B93,0)</f>
        <v>33.229999999999997</v>
      </c>
      <c r="D36" s="13">
        <f>IFERROR('Data Sheet'!C93,0)</f>
        <v>33.229999999999997</v>
      </c>
      <c r="E36" s="13">
        <f>IFERROR('Data Sheet'!D93,0)</f>
        <v>33.229999999999997</v>
      </c>
      <c r="F36" s="13">
        <f>IFERROR('Data Sheet'!E93,0)</f>
        <v>33.229999999999997</v>
      </c>
      <c r="G36" s="13">
        <f>IFERROR('Data Sheet'!F93,0)</f>
        <v>33.229999999999997</v>
      </c>
      <c r="H36" s="13">
        <f>IFERROR('Data Sheet'!G93,0)</f>
        <v>33.229999999999997</v>
      </c>
      <c r="I36" s="13">
        <f>IFERROR('Data Sheet'!H93,0)</f>
        <v>35.549999999999997</v>
      </c>
      <c r="J36" s="13">
        <f>IFERROR('Data Sheet'!I93,0)</f>
        <v>35.549999999999997</v>
      </c>
      <c r="K36" s="13">
        <f>IFERROR('Data Sheet'!J93,0)</f>
        <v>35.549999999999997</v>
      </c>
      <c r="L36" s="13">
        <f>IFERROR('Data Sheet'!K93,0)</f>
        <v>35.549999999999997</v>
      </c>
    </row>
    <row r="38" spans="1:12" x14ac:dyDescent="0.3">
      <c r="B38" s="37" t="s">
        <v>75</v>
      </c>
      <c r="C38" s="38">
        <f>C33/C36</f>
        <v>-3.3006319590731241</v>
      </c>
      <c r="D38" s="38">
        <f t="shared" ref="D38:L38" si="14">D33/D36</f>
        <v>-2.3755642491724358</v>
      </c>
      <c r="E38" s="38">
        <f t="shared" si="14"/>
        <v>-0.94101715317484225</v>
      </c>
      <c r="F38" s="38">
        <f t="shared" si="14"/>
        <v>0.10953957267528916</v>
      </c>
      <c r="G38" s="38">
        <f t="shared" si="14"/>
        <v>1.7926572374360554</v>
      </c>
      <c r="H38" s="39">
        <f t="shared" si="14"/>
        <v>1.9476376767980703</v>
      </c>
      <c r="I38" s="39">
        <f t="shared" si="14"/>
        <v>-1.1434599156118237</v>
      </c>
      <c r="J38" s="39">
        <f t="shared" si="14"/>
        <v>-10.704078762306622</v>
      </c>
      <c r="K38" s="39">
        <f t="shared" si="14"/>
        <v>-3.3068917018283903</v>
      </c>
      <c r="L38" s="39">
        <f t="shared" si="14"/>
        <v>1.4917018284107284</v>
      </c>
    </row>
    <row r="39" spans="1:12" x14ac:dyDescent="0.3">
      <c r="B39" s="25" t="s">
        <v>76</v>
      </c>
      <c r="C39" s="31" t="s">
        <v>73</v>
      </c>
      <c r="D39" s="32">
        <f>D38/C38-1</f>
        <v>-0.28026987600291664</v>
      </c>
      <c r="E39" s="32">
        <f t="shared" ref="E39:L39" si="15">E38/D38-1</f>
        <v>-0.60387636179376747</v>
      </c>
      <c r="F39" s="32">
        <f t="shared" si="15"/>
        <v>-1.1164055004796885</v>
      </c>
      <c r="G39" s="32">
        <f t="shared" si="15"/>
        <v>15.365384615385285</v>
      </c>
      <c r="H39" s="32">
        <f t="shared" si="15"/>
        <v>8.6452912539864757E-2</v>
      </c>
      <c r="I39" s="32">
        <f t="shared" si="15"/>
        <v>-1.5871009424564426</v>
      </c>
      <c r="J39" s="32">
        <f t="shared" si="15"/>
        <v>8.361131611316047</v>
      </c>
      <c r="K39" s="32">
        <f t="shared" si="15"/>
        <v>-0.69106246550863493</v>
      </c>
      <c r="L39" s="32">
        <f t="shared" si="15"/>
        <v>-1.4510888057162448</v>
      </c>
    </row>
    <row r="41" spans="1:12" x14ac:dyDescent="0.3">
      <c r="B41" s="8" t="s">
        <v>77</v>
      </c>
      <c r="C41" s="19">
        <f>IFERROR('Data Sheet'!B31/C36,0)</f>
        <v>0.69996990671080361</v>
      </c>
      <c r="D41" s="19">
        <f>IFERROR('Data Sheet'!C31/D36,0)</f>
        <v>1</v>
      </c>
      <c r="E41" s="19">
        <f>IFERROR('Data Sheet'!D31/E36,0)</f>
        <v>0.9000902798675896</v>
      </c>
      <c r="F41" s="19">
        <f>IFERROR('Data Sheet'!E31/F36,0)</f>
        <v>1</v>
      </c>
      <c r="G41" s="19">
        <f>IFERROR('Data Sheet'!F31/G36,0)</f>
        <v>1.1498645801986158</v>
      </c>
      <c r="H41" s="19">
        <f>IFERROR('Data Sheet'!G31/H36,0)</f>
        <v>1.3000300932891966</v>
      </c>
      <c r="I41" s="19">
        <f>IFERROR('Data Sheet'!H31/I36,0)</f>
        <v>1</v>
      </c>
      <c r="J41" s="19">
        <f>IFERROR('Data Sheet'!I31/J36,0)</f>
        <v>0.6</v>
      </c>
      <c r="K41" s="19">
        <f>IFERROR('Data Sheet'!J31/K36,0)</f>
        <v>1.70014064697609</v>
      </c>
      <c r="L41" s="19">
        <f>IFERROR('Data Sheet'!K31/L36,0)</f>
        <v>2.2000000000000002</v>
      </c>
    </row>
    <row r="42" spans="1:12" x14ac:dyDescent="0.3">
      <c r="B42" s="8" t="s">
        <v>78</v>
      </c>
      <c r="C42" s="16">
        <f>C41/C38</f>
        <v>-0.21207148067104323</v>
      </c>
      <c r="D42" s="17">
        <f t="shared" ref="D42:L42" si="16">D41/D38</f>
        <v>-0.42095262224474261</v>
      </c>
      <c r="E42" s="17">
        <f t="shared" si="16"/>
        <v>-0.9565078349856091</v>
      </c>
      <c r="F42" s="17">
        <f t="shared" si="16"/>
        <v>9.129120879121233</v>
      </c>
      <c r="G42" s="17">
        <f t="shared" si="16"/>
        <v>0.64143025012590105</v>
      </c>
      <c r="H42" s="17">
        <f t="shared" si="16"/>
        <v>0.66749072929542774</v>
      </c>
      <c r="I42" s="17">
        <f t="shared" si="16"/>
        <v>-0.87453874538744669</v>
      </c>
      <c r="J42" s="17">
        <f t="shared" si="16"/>
        <v>-5.6053399206370001E-2</v>
      </c>
      <c r="K42" s="17">
        <f t="shared" si="16"/>
        <v>-0.5141204491323611</v>
      </c>
      <c r="L42" s="17">
        <f t="shared" si="16"/>
        <v>1.4748255704317923</v>
      </c>
    </row>
    <row r="44" spans="1:12" ht="15" thickBot="1" x14ac:dyDescent="0.35">
      <c r="B44" s="35" t="s">
        <v>79</v>
      </c>
      <c r="C44" s="36">
        <f>IFERROR(IF(C38&gt;C41,1-C42,0),0)</f>
        <v>0</v>
      </c>
      <c r="D44" s="36">
        <f t="shared" ref="D44:L44" si="17">IFERROR(IF(D38&gt;D41,1-D42,0),0)</f>
        <v>0</v>
      </c>
      <c r="E44" s="36">
        <f t="shared" si="17"/>
        <v>0</v>
      </c>
      <c r="F44" s="36">
        <f t="shared" si="17"/>
        <v>0</v>
      </c>
      <c r="G44" s="36">
        <f t="shared" si="17"/>
        <v>0.35856974987409895</v>
      </c>
      <c r="H44" s="36">
        <f t="shared" si="17"/>
        <v>0.33250927070457226</v>
      </c>
      <c r="I44" s="36">
        <f t="shared" si="17"/>
        <v>0</v>
      </c>
      <c r="J44" s="36">
        <f t="shared" si="17"/>
        <v>0</v>
      </c>
      <c r="K44" s="36">
        <f t="shared" si="17"/>
        <v>0</v>
      </c>
      <c r="L44" s="36">
        <f t="shared" si="17"/>
        <v>0</v>
      </c>
    </row>
    <row r="45" spans="1:12" ht="15" thickTop="1" x14ac:dyDescent="0.3"/>
    <row r="46" spans="1:12" x14ac:dyDescent="0.3">
      <c r="A46" t="s">
        <v>56</v>
      </c>
      <c r="B46" s="74" t="s">
        <v>80</v>
      </c>
      <c r="C46" s="74"/>
      <c r="D46" s="74"/>
      <c r="E46" s="74"/>
      <c r="F46" s="74"/>
      <c r="G46" s="74"/>
      <c r="H46" s="74"/>
      <c r="I46" s="74"/>
      <c r="J46" s="74"/>
      <c r="K46" s="74"/>
      <c r="L46" s="74"/>
    </row>
    <row r="47" spans="1:12" x14ac:dyDescent="0.3">
      <c r="B47" s="4" t="s">
        <v>10</v>
      </c>
      <c r="C47" s="14">
        <f>IFERROR('Data Sheet'!B57,0)</f>
        <v>33.229999999999997</v>
      </c>
      <c r="D47" s="14">
        <f>IFERROR('Data Sheet'!C57,0)</f>
        <v>33.229999999999997</v>
      </c>
      <c r="E47" s="14">
        <f>IFERROR('Data Sheet'!D57,0)</f>
        <v>33.229999999999997</v>
      </c>
      <c r="F47" s="14">
        <f>IFERROR('Data Sheet'!E57,0)</f>
        <v>33.229999999999997</v>
      </c>
      <c r="G47" s="14">
        <f>IFERROR('Data Sheet'!F57,0)</f>
        <v>33.229999999999997</v>
      </c>
      <c r="H47" s="14">
        <f>IFERROR('Data Sheet'!G57,0)</f>
        <v>33.229999999999997</v>
      </c>
      <c r="I47" s="14">
        <f>IFERROR('Data Sheet'!H57,0)</f>
        <v>35.549999999999997</v>
      </c>
      <c r="J47" s="14">
        <f>IFERROR('Data Sheet'!I57,0)</f>
        <v>35.549999999999997</v>
      </c>
      <c r="K47" s="14">
        <f>IFERROR('Data Sheet'!J57,0)</f>
        <v>35.549999999999997</v>
      </c>
      <c r="L47" s="14">
        <f>IFERROR('Data Sheet'!K57,0)</f>
        <v>35.549999999999997</v>
      </c>
    </row>
    <row r="48" spans="1:12" x14ac:dyDescent="0.3">
      <c r="B48" s="4" t="s">
        <v>11</v>
      </c>
      <c r="C48" s="14">
        <f>IFERROR('Data Sheet'!B58,0)</f>
        <v>957.58</v>
      </c>
      <c r="D48" s="14">
        <f>IFERROR('Data Sheet'!C58,0)</f>
        <v>1388.73</v>
      </c>
      <c r="E48" s="14">
        <f>IFERROR('Data Sheet'!D58,0)</f>
        <v>1431.16</v>
      </c>
      <c r="F48" s="14">
        <f>IFERROR('Data Sheet'!E58,0)</f>
        <v>1514.46</v>
      </c>
      <c r="G48" s="14">
        <f>IFERROR('Data Sheet'!F58,0)</f>
        <v>1562.14</v>
      </c>
      <c r="H48" s="14">
        <f>IFERROR('Data Sheet'!G58,0)</f>
        <v>1613.28</v>
      </c>
      <c r="I48" s="14">
        <f>IFERROR('Data Sheet'!H58,0)</f>
        <v>2352.2199999999998</v>
      </c>
      <c r="J48" s="14">
        <f>IFERROR('Data Sheet'!I58,0)</f>
        <v>2277.48</v>
      </c>
      <c r="K48" s="14">
        <f>IFERROR('Data Sheet'!J58,0)</f>
        <v>2328.4499999999998</v>
      </c>
      <c r="L48" s="14">
        <f>IFERROR('Data Sheet'!K58,0)</f>
        <v>2559.94</v>
      </c>
    </row>
    <row r="49" spans="2:12" x14ac:dyDescent="0.3">
      <c r="B49" s="4" t="s">
        <v>35</v>
      </c>
      <c r="C49" s="14">
        <f>IFERROR('Data Sheet'!B59,0)</f>
        <v>331.55</v>
      </c>
      <c r="D49" s="14">
        <f>IFERROR('Data Sheet'!C59,0)</f>
        <v>266.85000000000002</v>
      </c>
      <c r="E49" s="14">
        <f>IFERROR('Data Sheet'!D59,0)</f>
        <v>399.8</v>
      </c>
      <c r="F49" s="14">
        <f>IFERROR('Data Sheet'!E59,0)</f>
        <v>391.74</v>
      </c>
      <c r="G49" s="14">
        <f>IFERROR('Data Sheet'!F59,0)</f>
        <v>391.43</v>
      </c>
      <c r="H49" s="14">
        <f>IFERROR('Data Sheet'!G59,0)</f>
        <v>494.14</v>
      </c>
      <c r="I49" s="14">
        <f>IFERROR('Data Sheet'!H59,0)</f>
        <v>299.74</v>
      </c>
      <c r="J49" s="14">
        <f>IFERROR('Data Sheet'!I59,0)</f>
        <v>299.93</v>
      </c>
      <c r="K49" s="14">
        <f>IFERROR('Data Sheet'!J59,0)</f>
        <v>4725.3599999999997</v>
      </c>
      <c r="L49" s="14">
        <f>IFERROR('Data Sheet'!K59,0)</f>
        <v>4464.1400000000003</v>
      </c>
    </row>
    <row r="50" spans="2:12" x14ac:dyDescent="0.3">
      <c r="B50" s="4" t="s">
        <v>36</v>
      </c>
      <c r="C50" s="14">
        <f>IFERROR('Data Sheet'!B60,0)</f>
        <v>613.85</v>
      </c>
      <c r="D50" s="14">
        <f>IFERROR('Data Sheet'!C60,0)</f>
        <v>517.73</v>
      </c>
      <c r="E50" s="14">
        <f>IFERROR('Data Sheet'!D60,0)</f>
        <v>292.39999999999998</v>
      </c>
      <c r="F50" s="14">
        <f>IFERROR('Data Sheet'!E60,0)</f>
        <v>282.82</v>
      </c>
      <c r="G50" s="14">
        <f>IFERROR('Data Sheet'!F60,0)</f>
        <v>349.06</v>
      </c>
      <c r="H50" s="14">
        <f>IFERROR('Data Sheet'!G60,0)</f>
        <v>418.11</v>
      </c>
      <c r="I50" s="14">
        <f>IFERROR('Data Sheet'!H60,0)</f>
        <v>2819.17</v>
      </c>
      <c r="J50" s="14">
        <f>IFERROR('Data Sheet'!I60,0)</f>
        <v>3110.77</v>
      </c>
      <c r="K50" s="14">
        <f>IFERROR('Data Sheet'!J60,0)</f>
        <v>636.66</v>
      </c>
      <c r="L50" s="14">
        <f>IFERROR('Data Sheet'!K60,0)</f>
        <v>1021.9</v>
      </c>
    </row>
    <row r="51" spans="2:12" x14ac:dyDescent="0.3">
      <c r="B51" s="30" t="s">
        <v>83</v>
      </c>
      <c r="C51" s="28">
        <f>SUM(C47:C50)</f>
        <v>1936.21</v>
      </c>
      <c r="D51" s="28">
        <f t="shared" ref="D51:L51" si="18">SUM(D47:D50)</f>
        <v>2206.54</v>
      </c>
      <c r="E51" s="28">
        <f t="shared" si="18"/>
        <v>2156.59</v>
      </c>
      <c r="F51" s="28">
        <f t="shared" si="18"/>
        <v>2222.25</v>
      </c>
      <c r="G51" s="28">
        <f t="shared" si="18"/>
        <v>2335.86</v>
      </c>
      <c r="H51" s="28">
        <f t="shared" si="18"/>
        <v>2558.7600000000002</v>
      </c>
      <c r="I51" s="28">
        <f t="shared" si="18"/>
        <v>5506.68</v>
      </c>
      <c r="J51" s="28">
        <f t="shared" si="18"/>
        <v>5723.73</v>
      </c>
      <c r="K51" s="28">
        <f t="shared" si="18"/>
        <v>7726.0199999999995</v>
      </c>
      <c r="L51" s="28">
        <f t="shared" si="18"/>
        <v>8081.5300000000007</v>
      </c>
    </row>
    <row r="53" spans="2:12" x14ac:dyDescent="0.3">
      <c r="B53" s="4" t="s">
        <v>85</v>
      </c>
      <c r="C53" s="14">
        <f>IFERROR('Data Sheet'!B62,0)</f>
        <v>720.12</v>
      </c>
      <c r="D53" s="14">
        <f>IFERROR('Data Sheet'!C62,0)</f>
        <v>668.46</v>
      </c>
      <c r="E53" s="14">
        <f>IFERROR('Data Sheet'!D62,0)</f>
        <v>476.79</v>
      </c>
      <c r="F53" s="14">
        <f>IFERROR('Data Sheet'!E62,0)</f>
        <v>548.71</v>
      </c>
      <c r="G53" s="14">
        <f>IFERROR('Data Sheet'!F62,0)</f>
        <v>612.53</v>
      </c>
      <c r="H53" s="14">
        <f>IFERROR('Data Sheet'!G62,0)</f>
        <v>662.18</v>
      </c>
      <c r="I53" s="14">
        <f>IFERROR('Data Sheet'!H62,0)</f>
        <v>2738.43</v>
      </c>
      <c r="J53" s="14">
        <f>IFERROR('Data Sheet'!I62,0)</f>
        <v>3053.82</v>
      </c>
      <c r="K53" s="14">
        <f>IFERROR('Data Sheet'!J62,0)</f>
        <v>4686.71</v>
      </c>
      <c r="L53" s="14">
        <f>IFERROR('Data Sheet'!K62,0)</f>
        <v>4526.95</v>
      </c>
    </row>
    <row r="54" spans="2:12" x14ac:dyDescent="0.3">
      <c r="B54" s="4" t="s">
        <v>14</v>
      </c>
      <c r="C54" s="14">
        <f>IFERROR('Data Sheet'!B63,0)</f>
        <v>137.57</v>
      </c>
      <c r="D54" s="14">
        <f>IFERROR('Data Sheet'!C63,0)</f>
        <v>92.13</v>
      </c>
      <c r="E54" s="14">
        <f>IFERROR('Data Sheet'!D63,0)</f>
        <v>54.86</v>
      </c>
      <c r="F54" s="14">
        <f>IFERROR('Data Sheet'!E63,0)</f>
        <v>5.48</v>
      </c>
      <c r="G54" s="14">
        <f>IFERROR('Data Sheet'!F63,0)</f>
        <v>9.59</v>
      </c>
      <c r="H54" s="14">
        <f>IFERROR('Data Sheet'!G63,0)</f>
        <v>87.18</v>
      </c>
      <c r="I54" s="14">
        <f>IFERROR('Data Sheet'!H63,0)</f>
        <v>23.32</v>
      </c>
      <c r="J54" s="14">
        <f>IFERROR('Data Sheet'!I63,0)</f>
        <v>107.98</v>
      </c>
      <c r="K54" s="14">
        <f>IFERROR('Data Sheet'!J63,0)</f>
        <v>104.72</v>
      </c>
      <c r="L54" s="14">
        <f>IFERROR('Data Sheet'!K63,0)</f>
        <v>101.72</v>
      </c>
    </row>
    <row r="55" spans="2:12" x14ac:dyDescent="0.3">
      <c r="B55" s="4" t="s">
        <v>15</v>
      </c>
      <c r="C55" s="14">
        <f>IFERROR('Data Sheet'!B64,0)</f>
        <v>300.33999999999997</v>
      </c>
      <c r="D55" s="14">
        <f>IFERROR('Data Sheet'!C64,0)</f>
        <v>739.72</v>
      </c>
      <c r="E55" s="14">
        <f>IFERROR('Data Sheet'!D64,0)</f>
        <v>1066.97</v>
      </c>
      <c r="F55" s="14">
        <f>IFERROR('Data Sheet'!E64,0)</f>
        <v>1079.96</v>
      </c>
      <c r="G55" s="14">
        <f>IFERROR('Data Sheet'!F64,0)</f>
        <v>1022.88</v>
      </c>
      <c r="H55" s="14">
        <f>IFERROR('Data Sheet'!G64,0)</f>
        <v>882.83</v>
      </c>
      <c r="I55" s="14">
        <f>IFERROR('Data Sheet'!H64,0)</f>
        <v>1514.78</v>
      </c>
      <c r="J55" s="14">
        <f>IFERROR('Data Sheet'!I64,0)</f>
        <v>1487.29</v>
      </c>
      <c r="K55" s="14">
        <f>IFERROR('Data Sheet'!J64,0)</f>
        <v>1283.72</v>
      </c>
      <c r="L55" s="14">
        <f>IFERROR('Data Sheet'!K64,0)</f>
        <v>1109.8699999999999</v>
      </c>
    </row>
    <row r="56" spans="2:12" x14ac:dyDescent="0.3">
      <c r="B56" s="4" t="s">
        <v>37</v>
      </c>
      <c r="C56" s="14">
        <f>IFERROR('Data Sheet'!B65-SUM('Data Sheet'!B67:B69),0)</f>
        <v>342.17999999999995</v>
      </c>
      <c r="D56" s="14">
        <f>IFERROR('Data Sheet'!C65-SUM('Data Sheet'!C67:C69),0)</f>
        <v>303.19</v>
      </c>
      <c r="E56" s="14">
        <f>IFERROR('Data Sheet'!D65-SUM('Data Sheet'!D67:D69),0)</f>
        <v>238.89000000000004</v>
      </c>
      <c r="F56" s="14">
        <f>IFERROR('Data Sheet'!E65-SUM('Data Sheet'!E67:E69),0)</f>
        <v>242.53999999999996</v>
      </c>
      <c r="G56" s="14">
        <f>IFERROR('Data Sheet'!F65-SUM('Data Sheet'!F67:F69),0)</f>
        <v>298.18</v>
      </c>
      <c r="H56" s="14">
        <f>IFERROR('Data Sheet'!G65-SUM('Data Sheet'!G67:G69),0)</f>
        <v>358.79000000000008</v>
      </c>
      <c r="I56" s="14">
        <f>IFERROR('Data Sheet'!H65-SUM('Data Sheet'!H67:H69),0)</f>
        <v>543.81000000000017</v>
      </c>
      <c r="J56" s="14">
        <f>IFERROR('Data Sheet'!I65-SUM('Data Sheet'!I67:I69),0)</f>
        <v>544.0100000000001</v>
      </c>
      <c r="K56" s="14">
        <f>IFERROR('Data Sheet'!J65-SUM('Data Sheet'!J67:J69),0)</f>
        <v>678.8599999999999</v>
      </c>
      <c r="L56" s="14">
        <f>IFERROR('Data Sheet'!K65-SUM('Data Sheet'!K67:K69),0)</f>
        <v>861.13999999999965</v>
      </c>
    </row>
    <row r="57" spans="2:12" x14ac:dyDescent="0.3">
      <c r="B57" s="30" t="s">
        <v>82</v>
      </c>
      <c r="C57" s="28">
        <f>SUM(C53:C56)</f>
        <v>1500.21</v>
      </c>
      <c r="D57" s="28">
        <f t="shared" ref="D57:L57" si="19">SUM(D53:D56)</f>
        <v>1803.5</v>
      </c>
      <c r="E57" s="28">
        <f t="shared" si="19"/>
        <v>1837.51</v>
      </c>
      <c r="F57" s="28">
        <f t="shared" si="19"/>
        <v>1876.69</v>
      </c>
      <c r="G57" s="28">
        <f t="shared" si="19"/>
        <v>1943.18</v>
      </c>
      <c r="H57" s="28">
        <f t="shared" si="19"/>
        <v>1990.98</v>
      </c>
      <c r="I57" s="28">
        <f t="shared" si="19"/>
        <v>4820.34</v>
      </c>
      <c r="J57" s="28">
        <f t="shared" si="19"/>
        <v>5193.1000000000004</v>
      </c>
      <c r="K57" s="28">
        <f t="shared" si="19"/>
        <v>6754.01</v>
      </c>
      <c r="L57" s="28">
        <f t="shared" si="19"/>
        <v>6599.6799999999994</v>
      </c>
    </row>
    <row r="59" spans="2:12" x14ac:dyDescent="0.3">
      <c r="B59" s="4" t="s">
        <v>42</v>
      </c>
      <c r="C59" s="14">
        <f>IFERROR('Data Sheet'!B67,0)</f>
        <v>17.61</v>
      </c>
      <c r="D59" s="14">
        <f>IFERROR('Data Sheet'!C67,0)</f>
        <v>17.690000000000001</v>
      </c>
      <c r="E59" s="14">
        <f>IFERROR('Data Sheet'!D67,0)</f>
        <v>12.99</v>
      </c>
      <c r="F59" s="14">
        <f>IFERROR('Data Sheet'!E67,0)</f>
        <v>5.92</v>
      </c>
      <c r="G59" s="14">
        <f>IFERROR('Data Sheet'!F67,0)</f>
        <v>15.1</v>
      </c>
      <c r="H59" s="14">
        <f>IFERROR('Data Sheet'!G67,0)</f>
        <v>16.54</v>
      </c>
      <c r="I59" s="14">
        <f>IFERROR('Data Sheet'!H67,0)</f>
        <v>17.12</v>
      </c>
      <c r="J59" s="14">
        <f>IFERROR('Data Sheet'!I67,0)</f>
        <v>20.77</v>
      </c>
      <c r="K59" s="14">
        <f>IFERROR('Data Sheet'!J67,0)</f>
        <v>18.260000000000002</v>
      </c>
      <c r="L59" s="14">
        <f>IFERROR('Data Sheet'!K67,0)</f>
        <v>34.39</v>
      </c>
    </row>
    <row r="60" spans="2:12" x14ac:dyDescent="0.3">
      <c r="B60" s="4" t="s">
        <v>29</v>
      </c>
      <c r="C60" s="14">
        <f>IFERROR('Data Sheet'!B68,0)</f>
        <v>356.46</v>
      </c>
      <c r="D60" s="14">
        <f>IFERROR('Data Sheet'!C68,0)</f>
        <v>329.85</v>
      </c>
      <c r="E60" s="14">
        <f>IFERROR('Data Sheet'!D68,0)</f>
        <v>279.19</v>
      </c>
      <c r="F60" s="14">
        <f>IFERROR('Data Sheet'!E68,0)</f>
        <v>305.36</v>
      </c>
      <c r="G60" s="14">
        <f>IFERROR('Data Sheet'!F68,0)</f>
        <v>344.77</v>
      </c>
      <c r="H60" s="14">
        <f>IFERROR('Data Sheet'!G68,0)</f>
        <v>497.01</v>
      </c>
      <c r="I60" s="14">
        <f>IFERROR('Data Sheet'!H68,0)</f>
        <v>607.80999999999995</v>
      </c>
      <c r="J60" s="14">
        <f>IFERROR('Data Sheet'!I68,0)</f>
        <v>428.39</v>
      </c>
      <c r="K60" s="14">
        <f>IFERROR('Data Sheet'!J68,0)</f>
        <v>867.78</v>
      </c>
      <c r="L60" s="14">
        <f>IFERROR('Data Sheet'!K68,0)</f>
        <v>1361.16</v>
      </c>
    </row>
    <row r="61" spans="2:12" x14ac:dyDescent="0.3">
      <c r="B61" s="3" t="s">
        <v>51</v>
      </c>
      <c r="C61" s="14">
        <f>IFERROR('Data Sheet'!B69,0)</f>
        <v>61.93</v>
      </c>
      <c r="D61" s="14">
        <f>IFERROR('Data Sheet'!C69,0)</f>
        <v>55.5</v>
      </c>
      <c r="E61" s="14">
        <f>IFERROR('Data Sheet'!D69,0)</f>
        <v>26.9</v>
      </c>
      <c r="F61" s="14">
        <f>IFERROR('Data Sheet'!E69,0)</f>
        <v>34.28</v>
      </c>
      <c r="G61" s="14">
        <f>IFERROR('Data Sheet'!F69,0)</f>
        <v>32.81</v>
      </c>
      <c r="H61" s="14">
        <f>IFERROR('Data Sheet'!G69,0)</f>
        <v>54.23</v>
      </c>
      <c r="I61" s="14">
        <f>IFERROR('Data Sheet'!H69,0)</f>
        <v>61.41</v>
      </c>
      <c r="J61" s="14">
        <f>IFERROR('Data Sheet'!I69,0)</f>
        <v>81.47</v>
      </c>
      <c r="K61" s="14">
        <f>IFERROR('Data Sheet'!J69,0)</f>
        <v>85.97</v>
      </c>
      <c r="L61" s="14">
        <f>IFERROR('Data Sheet'!K69,0)</f>
        <v>86.3</v>
      </c>
    </row>
    <row r="62" spans="2:12" x14ac:dyDescent="0.3">
      <c r="B62" s="27" t="s">
        <v>84</v>
      </c>
      <c r="C62" s="28">
        <f>SUM(C59:C61)</f>
        <v>436</v>
      </c>
      <c r="D62" s="28">
        <f t="shared" ref="D62:L62" si="20">SUM(D59:D61)</f>
        <v>403.04</v>
      </c>
      <c r="E62" s="28">
        <f t="shared" si="20"/>
        <v>319.08</v>
      </c>
      <c r="F62" s="28">
        <f t="shared" si="20"/>
        <v>345.56000000000006</v>
      </c>
      <c r="G62" s="28">
        <f t="shared" si="20"/>
        <v>392.68</v>
      </c>
      <c r="H62" s="28">
        <f t="shared" si="20"/>
        <v>567.78</v>
      </c>
      <c r="I62" s="28">
        <f t="shared" si="20"/>
        <v>686.33999999999992</v>
      </c>
      <c r="J62" s="28">
        <f t="shared" si="20"/>
        <v>530.63</v>
      </c>
      <c r="K62" s="28">
        <f t="shared" si="20"/>
        <v>972.01</v>
      </c>
      <c r="L62" s="28">
        <f t="shared" si="20"/>
        <v>1481.8500000000001</v>
      </c>
    </row>
    <row r="64" spans="2:12" x14ac:dyDescent="0.3">
      <c r="B64" s="27" t="s">
        <v>81</v>
      </c>
      <c r="C64" s="28">
        <f>C57+C62</f>
        <v>1936.21</v>
      </c>
      <c r="D64" s="28">
        <f t="shared" ref="D64:L64" si="21">D57+D62</f>
        <v>2206.54</v>
      </c>
      <c r="E64" s="28">
        <f t="shared" si="21"/>
        <v>2156.59</v>
      </c>
      <c r="F64" s="28">
        <f t="shared" si="21"/>
        <v>2222.25</v>
      </c>
      <c r="G64" s="28">
        <f t="shared" si="21"/>
        <v>2335.86</v>
      </c>
      <c r="H64" s="28">
        <f t="shared" si="21"/>
        <v>2558.7600000000002</v>
      </c>
      <c r="I64" s="28">
        <f t="shared" si="21"/>
        <v>5506.68</v>
      </c>
      <c r="J64" s="28">
        <f t="shared" si="21"/>
        <v>5723.7300000000005</v>
      </c>
      <c r="K64" s="28">
        <f t="shared" si="21"/>
        <v>7726.02</v>
      </c>
      <c r="L64" s="28">
        <f t="shared" si="21"/>
        <v>8081.53</v>
      </c>
    </row>
    <row r="66" spans="1:14" ht="15" thickBot="1" x14ac:dyDescent="0.35">
      <c r="B66" s="40" t="s">
        <v>86</v>
      </c>
      <c r="C66" s="41" t="b">
        <f>C64=C51</f>
        <v>1</v>
      </c>
      <c r="D66" s="41" t="b">
        <f t="shared" ref="D66:L66" si="22">D64=D51</f>
        <v>1</v>
      </c>
      <c r="E66" s="41" t="b">
        <f t="shared" si="22"/>
        <v>1</v>
      </c>
      <c r="F66" s="41" t="b">
        <f t="shared" si="22"/>
        <v>1</v>
      </c>
      <c r="G66" s="41" t="b">
        <f t="shared" si="22"/>
        <v>1</v>
      </c>
      <c r="H66" s="41" t="b">
        <f t="shared" si="22"/>
        <v>1</v>
      </c>
      <c r="I66" s="41" t="b">
        <f t="shared" si="22"/>
        <v>1</v>
      </c>
      <c r="J66" s="41" t="b">
        <f t="shared" si="22"/>
        <v>1</v>
      </c>
      <c r="K66" s="41" t="b">
        <f t="shared" si="22"/>
        <v>1</v>
      </c>
      <c r="L66" s="41" t="b">
        <f t="shared" si="22"/>
        <v>1</v>
      </c>
    </row>
    <row r="67" spans="1:14" ht="15" thickTop="1" x14ac:dyDescent="0.3"/>
    <row r="68" spans="1:14" x14ac:dyDescent="0.3">
      <c r="A68" t="s">
        <v>56</v>
      </c>
      <c r="B68" s="74" t="s">
        <v>87</v>
      </c>
      <c r="C68" s="74"/>
      <c r="D68" s="74"/>
      <c r="E68" s="74"/>
      <c r="F68" s="74"/>
      <c r="G68" s="74"/>
      <c r="H68" s="74"/>
      <c r="I68" s="74"/>
      <c r="J68" s="74"/>
      <c r="K68" s="74"/>
      <c r="L68" s="74"/>
    </row>
    <row r="69" spans="1:14" x14ac:dyDescent="0.3">
      <c r="B69" s="2" t="s">
        <v>114</v>
      </c>
      <c r="N69" s="2"/>
    </row>
    <row r="70" spans="1:14" x14ac:dyDescent="0.3">
      <c r="B70" t="s">
        <v>89</v>
      </c>
      <c r="C70" s="18">
        <f>IFERROR('Cash Flow Data'!C4,0)</f>
        <v>32</v>
      </c>
      <c r="D70" s="18">
        <f>IFERROR('Cash Flow Data'!D4,0)</f>
        <v>65</v>
      </c>
      <c r="E70" s="18">
        <f>IFERROR('Cash Flow Data'!E4,0)</f>
        <v>98</v>
      </c>
      <c r="F70" s="18">
        <f>IFERROR('Cash Flow Data'!F4,0)</f>
        <v>165</v>
      </c>
      <c r="G70" s="18">
        <f>IFERROR('Cash Flow Data'!G4,0)</f>
        <v>191</v>
      </c>
      <c r="H70" s="18">
        <f>IFERROR('Cash Flow Data'!H4,0)</f>
        <v>233</v>
      </c>
      <c r="I70" s="18">
        <f>IFERROR('Cash Flow Data'!I4,0)</f>
        <v>542</v>
      </c>
      <c r="J70" s="18">
        <f>IFERROR('Cash Flow Data'!J4,0)</f>
        <v>180</v>
      </c>
      <c r="K70" s="18">
        <f>IFERROR('Cash Flow Data'!K4,0)</f>
        <v>569</v>
      </c>
      <c r="L70" s="18">
        <f>IFERROR('Cash Flow Data'!L4,0)</f>
        <v>1079</v>
      </c>
    </row>
    <row r="71" spans="1:14" x14ac:dyDescent="0.3">
      <c r="B71" t="s">
        <v>42</v>
      </c>
      <c r="C71" s="18">
        <f>IFERROR('Cash Flow Data'!C5,0)</f>
        <v>-8</v>
      </c>
      <c r="D71" s="18">
        <f>IFERROR('Cash Flow Data'!D5,0)</f>
        <v>-19</v>
      </c>
      <c r="E71" s="18">
        <f>IFERROR('Cash Flow Data'!E5,0)</f>
        <v>-1</v>
      </c>
      <c r="F71" s="18">
        <f>IFERROR('Cash Flow Data'!F5,0)</f>
        <v>24</v>
      </c>
      <c r="G71" s="18">
        <f>IFERROR('Cash Flow Data'!G5,0)</f>
        <v>-54</v>
      </c>
      <c r="H71" s="18">
        <f>IFERROR('Cash Flow Data'!H5,0)</f>
        <v>-11</v>
      </c>
      <c r="I71" s="18">
        <f>IFERROR('Cash Flow Data'!I5,0)</f>
        <v>-20</v>
      </c>
      <c r="J71" s="18">
        <f>IFERROR('Cash Flow Data'!J5,0)</f>
        <v>-39</v>
      </c>
      <c r="K71" s="18">
        <f>IFERROR('Cash Flow Data'!K5,0)</f>
        <v>-103</v>
      </c>
      <c r="L71" s="18">
        <f>IFERROR('Cash Flow Data'!L5,0)</f>
        <v>-101</v>
      </c>
    </row>
    <row r="72" spans="1:14" x14ac:dyDescent="0.3">
      <c r="B72" t="s">
        <v>29</v>
      </c>
      <c r="C72" s="18">
        <f>IFERROR('Cash Flow Data'!C6,0)</f>
        <v>-25</v>
      </c>
      <c r="D72" s="18">
        <f>IFERROR('Cash Flow Data'!D6,0)</f>
        <v>-3</v>
      </c>
      <c r="E72" s="18">
        <f>IFERROR('Cash Flow Data'!E6,0)</f>
        <v>-19</v>
      </c>
      <c r="F72" s="18">
        <f>IFERROR('Cash Flow Data'!F6,0)</f>
        <v>-26</v>
      </c>
      <c r="G72" s="18">
        <f>IFERROR('Cash Flow Data'!G6,0)</f>
        <v>-39</v>
      </c>
      <c r="H72" s="18">
        <f>IFERROR('Cash Flow Data'!H6,0)</f>
        <v>-152</v>
      </c>
      <c r="I72" s="18">
        <f>IFERROR('Cash Flow Data'!I6,0)</f>
        <v>-89</v>
      </c>
      <c r="J72" s="18">
        <f>IFERROR('Cash Flow Data'!J6,0)</f>
        <v>179</v>
      </c>
      <c r="K72" s="18">
        <f>IFERROR('Cash Flow Data'!K6,0)</f>
        <v>-439</v>
      </c>
      <c r="L72" s="18">
        <f>IFERROR('Cash Flow Data'!L6,0)</f>
        <v>-494</v>
      </c>
    </row>
    <row r="73" spans="1:14" x14ac:dyDescent="0.3">
      <c r="B73" t="s">
        <v>90</v>
      </c>
      <c r="C73" s="18">
        <f>IFERROR('Cash Flow Data'!C7,0)</f>
        <v>-14</v>
      </c>
      <c r="D73" s="18">
        <f>IFERROR('Cash Flow Data'!D7,0)</f>
        <v>-6</v>
      </c>
      <c r="E73" s="18">
        <f>IFERROR('Cash Flow Data'!E7,0)</f>
        <v>27</v>
      </c>
      <c r="F73" s="18">
        <f>IFERROR('Cash Flow Data'!F7,0)</f>
        <v>-9</v>
      </c>
      <c r="G73" s="18">
        <f>IFERROR('Cash Flow Data'!G7,0)</f>
        <v>43</v>
      </c>
      <c r="H73" s="18">
        <f>IFERROR('Cash Flow Data'!H7,0)</f>
        <v>49</v>
      </c>
      <c r="I73" s="18">
        <f>IFERROR('Cash Flow Data'!I7,0)</f>
        <v>26</v>
      </c>
      <c r="J73" s="18">
        <f>IFERROR('Cash Flow Data'!J7,0)</f>
        <v>-11</v>
      </c>
      <c r="K73" s="18">
        <f>IFERROR('Cash Flow Data'!K7,0)</f>
        <v>134</v>
      </c>
      <c r="L73" s="18">
        <f>IFERROR('Cash Flow Data'!L7,0)</f>
        <v>332</v>
      </c>
    </row>
    <row r="74" spans="1:14" x14ac:dyDescent="0.3">
      <c r="B74" t="s">
        <v>91</v>
      </c>
      <c r="C74" s="18">
        <f>IFERROR('Cash Flow Data'!C8,0)</f>
        <v>0</v>
      </c>
      <c r="D74" s="18">
        <f>IFERROR('Cash Flow Data'!D8,0)</f>
        <v>0</v>
      </c>
      <c r="E74" s="18">
        <f>IFERROR('Cash Flow Data'!E8,0)</f>
        <v>0</v>
      </c>
      <c r="F74" s="18">
        <f>IFERROR('Cash Flow Data'!F8,0)</f>
        <v>0</v>
      </c>
      <c r="G74" s="18">
        <f>IFERROR('Cash Flow Data'!G8,0)</f>
        <v>0</v>
      </c>
      <c r="H74" s="18">
        <f>IFERROR('Cash Flow Data'!H8,0)</f>
        <v>0</v>
      </c>
      <c r="I74" s="18">
        <f>IFERROR('Cash Flow Data'!I8,0)</f>
        <v>0</v>
      </c>
      <c r="J74" s="18">
        <f>IFERROR('Cash Flow Data'!J8,0)</f>
        <v>0</v>
      </c>
      <c r="K74" s="18">
        <f>IFERROR('Cash Flow Data'!K8,0)</f>
        <v>0</v>
      </c>
      <c r="L74" s="18">
        <f>IFERROR('Cash Flow Data'!L8,0)</f>
        <v>0</v>
      </c>
    </row>
    <row r="75" spans="1:14" x14ac:dyDescent="0.3">
      <c r="B75" t="s">
        <v>92</v>
      </c>
      <c r="C75" s="18">
        <f>IFERROR('Cash Flow Data'!C9,0)</f>
        <v>-7</v>
      </c>
      <c r="D75" s="18">
        <f>IFERROR('Cash Flow Data'!D9,0)</f>
        <v>-34</v>
      </c>
      <c r="E75" s="18">
        <f>IFERROR('Cash Flow Data'!E9,0)</f>
        <v>24</v>
      </c>
      <c r="F75" s="18">
        <f>IFERROR('Cash Flow Data'!F9,0)</f>
        <v>-12</v>
      </c>
      <c r="G75" s="18">
        <f>IFERROR('Cash Flow Data'!G9,0)</f>
        <v>-13</v>
      </c>
      <c r="H75" s="18">
        <f>IFERROR('Cash Flow Data'!H9,0)</f>
        <v>-21</v>
      </c>
      <c r="I75" s="18">
        <f>IFERROR('Cash Flow Data'!I9,0)</f>
        <v>-15</v>
      </c>
      <c r="J75" s="18">
        <f>IFERROR('Cash Flow Data'!J9,0)</f>
        <v>-23</v>
      </c>
      <c r="K75" s="18">
        <f>IFERROR('Cash Flow Data'!K9,0)</f>
        <v>-22</v>
      </c>
      <c r="L75" s="18">
        <f>IFERROR('Cash Flow Data'!L9,0)</f>
        <v>-30</v>
      </c>
    </row>
    <row r="76" spans="1:14" x14ac:dyDescent="0.3">
      <c r="B76" t="s">
        <v>93</v>
      </c>
      <c r="C76" s="18">
        <f>IFERROR('Cash Flow Data'!C10,0)</f>
        <v>-54</v>
      </c>
      <c r="D76" s="18">
        <f>IFERROR('Cash Flow Data'!D10,0)</f>
        <v>-61</v>
      </c>
      <c r="E76" s="18">
        <f>IFERROR('Cash Flow Data'!E10,0)</f>
        <v>31</v>
      </c>
      <c r="F76" s="18">
        <f>IFERROR('Cash Flow Data'!F10,0)</f>
        <v>-24</v>
      </c>
      <c r="G76" s="18">
        <f>IFERROR('Cash Flow Data'!G10,0)</f>
        <v>-64</v>
      </c>
      <c r="H76" s="18">
        <f>IFERROR('Cash Flow Data'!H10,0)</f>
        <v>-135</v>
      </c>
      <c r="I76" s="18">
        <f>IFERROR('Cash Flow Data'!I10,0)</f>
        <v>-97</v>
      </c>
      <c r="J76" s="18">
        <f>IFERROR('Cash Flow Data'!J10,0)</f>
        <v>106</v>
      </c>
      <c r="K76" s="18">
        <f>IFERROR('Cash Flow Data'!K10,0)</f>
        <v>-430</v>
      </c>
      <c r="L76" s="18">
        <f>IFERROR('Cash Flow Data'!L10,0)</f>
        <v>-293</v>
      </c>
    </row>
    <row r="77" spans="1:14" x14ac:dyDescent="0.3">
      <c r="B77" t="s">
        <v>156</v>
      </c>
      <c r="C77" s="18">
        <f>IFERROR('Cash Flow Data'!C11,0)</f>
        <v>0</v>
      </c>
      <c r="D77" s="18">
        <f>IFERROR('Cash Flow Data'!D11,0)</f>
        <v>0</v>
      </c>
      <c r="E77" s="18">
        <f>IFERROR('Cash Flow Data'!E11,0)</f>
        <v>0</v>
      </c>
      <c r="F77" s="18">
        <f>IFERROR('Cash Flow Data'!F11,0)</f>
        <v>0</v>
      </c>
      <c r="G77" s="18">
        <f>IFERROR('Cash Flow Data'!G11,0)</f>
        <v>0</v>
      </c>
      <c r="H77" s="18">
        <f>IFERROR('Cash Flow Data'!H11,0)</f>
        <v>0</v>
      </c>
      <c r="I77" s="18">
        <f>IFERROR('Cash Flow Data'!I11,0)</f>
        <v>0</v>
      </c>
      <c r="J77" s="18">
        <f>IFERROR('Cash Flow Data'!J11,0)</f>
        <v>0</v>
      </c>
      <c r="K77" s="18">
        <f>IFERROR('Cash Flow Data'!K11,0)</f>
        <v>0</v>
      </c>
      <c r="L77" s="18">
        <f>IFERROR('Cash Flow Data'!L11,0)</f>
        <v>0</v>
      </c>
    </row>
    <row r="78" spans="1:14" x14ac:dyDescent="0.3">
      <c r="B78" t="s">
        <v>94</v>
      </c>
      <c r="C78" s="18">
        <f>IFERROR('Cash Flow Data'!C12,0)</f>
        <v>-23</v>
      </c>
      <c r="D78" s="18">
        <f>IFERROR('Cash Flow Data'!D12,0)</f>
        <v>-13</v>
      </c>
      <c r="E78" s="18">
        <f>IFERROR('Cash Flow Data'!E12,0)</f>
        <v>-20</v>
      </c>
      <c r="F78" s="18">
        <f>IFERROR('Cash Flow Data'!F12,0)</f>
        <v>-38</v>
      </c>
      <c r="G78" s="18">
        <f>IFERROR('Cash Flow Data'!G12,0)</f>
        <v>-50</v>
      </c>
      <c r="H78" s="18">
        <f>IFERROR('Cash Flow Data'!H12,0)</f>
        <v>-77</v>
      </c>
      <c r="I78" s="18">
        <f>IFERROR('Cash Flow Data'!I12,0)</f>
        <v>-83</v>
      </c>
      <c r="J78" s="18">
        <f>IFERROR('Cash Flow Data'!J12,0)</f>
        <v>-1</v>
      </c>
      <c r="K78" s="18">
        <f>IFERROR('Cash Flow Data'!K12,0)</f>
        <v>-82</v>
      </c>
      <c r="L78" s="18">
        <f>IFERROR('Cash Flow Data'!L12,0)</f>
        <v>-191</v>
      </c>
    </row>
    <row r="79" spans="1:14" x14ac:dyDescent="0.3">
      <c r="B79" t="s">
        <v>157</v>
      </c>
      <c r="C79" s="18">
        <f>IFERROR('Cash Flow Data'!C13,0)</f>
        <v>0</v>
      </c>
      <c r="D79" s="18">
        <f>IFERROR('Cash Flow Data'!D13,0)</f>
        <v>0</v>
      </c>
      <c r="E79" s="18">
        <f>IFERROR('Cash Flow Data'!E13,0)</f>
        <v>0</v>
      </c>
      <c r="F79" s="18">
        <f>IFERROR('Cash Flow Data'!F13,0)</f>
        <v>0</v>
      </c>
      <c r="G79" s="18">
        <f>IFERROR('Cash Flow Data'!G13,0)</f>
        <v>0</v>
      </c>
      <c r="H79" s="18">
        <f>IFERROR('Cash Flow Data'!H13,0)</f>
        <v>0</v>
      </c>
      <c r="I79" s="18">
        <f>IFERROR('Cash Flow Data'!I13,0)</f>
        <v>0</v>
      </c>
      <c r="J79" s="18">
        <f>IFERROR('Cash Flow Data'!J13,0)</f>
        <v>0</v>
      </c>
      <c r="K79" s="18">
        <f>IFERROR('Cash Flow Data'!K13,0)</f>
        <v>0</v>
      </c>
      <c r="L79" s="18">
        <f>IFERROR('Cash Flow Data'!L13,0)</f>
        <v>0</v>
      </c>
    </row>
    <row r="80" spans="1:14" x14ac:dyDescent="0.3">
      <c r="B80" s="22" t="s">
        <v>113</v>
      </c>
      <c r="C80" s="26">
        <f>SUM(C70:C79)</f>
        <v>-99</v>
      </c>
      <c r="D80" s="26">
        <f t="shared" ref="D80:L80" si="23">SUM(D70:D79)</f>
        <v>-71</v>
      </c>
      <c r="E80" s="26">
        <f t="shared" si="23"/>
        <v>140</v>
      </c>
      <c r="F80" s="26">
        <f t="shared" si="23"/>
        <v>80</v>
      </c>
      <c r="G80" s="26">
        <f t="shared" si="23"/>
        <v>14</v>
      </c>
      <c r="H80" s="26">
        <f t="shared" si="23"/>
        <v>-114</v>
      </c>
      <c r="I80" s="26">
        <f t="shared" si="23"/>
        <v>264</v>
      </c>
      <c r="J80" s="26">
        <f t="shared" si="23"/>
        <v>391</v>
      </c>
      <c r="K80" s="26">
        <f t="shared" si="23"/>
        <v>-373</v>
      </c>
      <c r="L80" s="26">
        <f t="shared" si="23"/>
        <v>302</v>
      </c>
    </row>
    <row r="82" spans="2:15" x14ac:dyDescent="0.3">
      <c r="B82" s="2" t="s">
        <v>116</v>
      </c>
      <c r="O82" s="2"/>
    </row>
    <row r="83" spans="2:15" x14ac:dyDescent="0.3">
      <c r="B83" t="s">
        <v>96</v>
      </c>
      <c r="C83" s="18">
        <f>IFERROR('Cash Flow Data'!C16,0)</f>
        <v>-136</v>
      </c>
      <c r="D83" s="18">
        <f>IFERROR('Cash Flow Data'!D16,0)</f>
        <v>-158</v>
      </c>
      <c r="E83" s="18">
        <f>IFERROR('Cash Flow Data'!E16,0)</f>
        <v>-139</v>
      </c>
      <c r="F83" s="18">
        <f>IFERROR('Cash Flow Data'!F16,0)</f>
        <v>-71</v>
      </c>
      <c r="G83" s="18">
        <f>IFERROR('Cash Flow Data'!G16,0)</f>
        <v>-107</v>
      </c>
      <c r="H83" s="18">
        <f>IFERROR('Cash Flow Data'!H16,0)</f>
        <v>-203</v>
      </c>
      <c r="I83" s="18">
        <f>IFERROR('Cash Flow Data'!I16,0)</f>
        <v>-156</v>
      </c>
      <c r="J83" s="18">
        <f>IFERROR('Cash Flow Data'!J16,0)</f>
        <v>-113</v>
      </c>
      <c r="K83" s="18">
        <f>IFERROR('Cash Flow Data'!K16,0)</f>
        <v>-271</v>
      </c>
      <c r="L83" s="18">
        <f>IFERROR('Cash Flow Data'!L16,0)</f>
        <v>-503</v>
      </c>
    </row>
    <row r="84" spans="2:15" x14ac:dyDescent="0.3">
      <c r="B84" t="s">
        <v>97</v>
      </c>
      <c r="C84" s="18">
        <f>IFERROR('Cash Flow Data'!C17,0)</f>
        <v>0</v>
      </c>
      <c r="D84" s="18">
        <f>IFERROR('Cash Flow Data'!D17,0)</f>
        <v>2</v>
      </c>
      <c r="E84" s="18">
        <f>IFERROR('Cash Flow Data'!E17,0)</f>
        <v>8</v>
      </c>
      <c r="F84" s="18">
        <f>IFERROR('Cash Flow Data'!F17,0)</f>
        <v>2</v>
      </c>
      <c r="G84" s="18">
        <f>IFERROR('Cash Flow Data'!G17,0)</f>
        <v>1</v>
      </c>
      <c r="H84" s="18">
        <f>IFERROR('Cash Flow Data'!H17,0)</f>
        <v>7</v>
      </c>
      <c r="I84" s="18">
        <f>IFERROR('Cash Flow Data'!I17,0)</f>
        <v>42</v>
      </c>
      <c r="J84" s="18">
        <f>IFERROR('Cash Flow Data'!J17,0)</f>
        <v>22</v>
      </c>
      <c r="K84" s="18">
        <f>IFERROR('Cash Flow Data'!K17,0)</f>
        <v>61</v>
      </c>
      <c r="L84" s="18">
        <f>IFERROR('Cash Flow Data'!L17,0)</f>
        <v>280</v>
      </c>
    </row>
    <row r="85" spans="2:15" x14ac:dyDescent="0.3">
      <c r="B85" t="s">
        <v>98</v>
      </c>
      <c r="C85" s="18">
        <f>IFERROR('Cash Flow Data'!C18,0)</f>
        <v>-856</v>
      </c>
      <c r="D85" s="18">
        <f>IFERROR('Cash Flow Data'!D18,0)</f>
        <v>-2739</v>
      </c>
      <c r="E85" s="18">
        <f>IFERROR('Cash Flow Data'!E18,0)</f>
        <v>-1007</v>
      </c>
      <c r="F85" s="18">
        <f>IFERROR('Cash Flow Data'!F18,0)</f>
        <v>-937</v>
      </c>
      <c r="G85" s="18">
        <f>IFERROR('Cash Flow Data'!G18,0)</f>
        <v>-972</v>
      </c>
      <c r="H85" s="18">
        <f>IFERROR('Cash Flow Data'!H18,0)</f>
        <v>-1285</v>
      </c>
      <c r="I85" s="18">
        <f>IFERROR('Cash Flow Data'!I18,0)</f>
        <v>-2895</v>
      </c>
      <c r="J85" s="18">
        <f>IFERROR('Cash Flow Data'!J18,0)</f>
        <v>-591</v>
      </c>
      <c r="K85" s="18">
        <f>IFERROR('Cash Flow Data'!K18,0)</f>
        <v>-1322</v>
      </c>
      <c r="L85" s="18">
        <f>IFERROR('Cash Flow Data'!L18,0)</f>
        <v>-1610</v>
      </c>
    </row>
    <row r="86" spans="2:15" x14ac:dyDescent="0.3">
      <c r="B86" t="s">
        <v>99</v>
      </c>
      <c r="C86" s="18">
        <f>IFERROR('Cash Flow Data'!C19,0)</f>
        <v>877</v>
      </c>
      <c r="D86" s="18">
        <f>IFERROR('Cash Flow Data'!D19,0)</f>
        <v>2521</v>
      </c>
      <c r="E86" s="18">
        <f>IFERROR('Cash Flow Data'!E19,0)</f>
        <v>989</v>
      </c>
      <c r="F86" s="18">
        <f>IFERROR('Cash Flow Data'!F19,0)</f>
        <v>951</v>
      </c>
      <c r="G86" s="18">
        <f>IFERROR('Cash Flow Data'!G19,0)</f>
        <v>1065</v>
      </c>
      <c r="H86" s="18">
        <f>IFERROR('Cash Flow Data'!H19,0)</f>
        <v>1510</v>
      </c>
      <c r="I86" s="18">
        <f>IFERROR('Cash Flow Data'!I19,0)</f>
        <v>2237</v>
      </c>
      <c r="J86" s="18">
        <f>IFERROR('Cash Flow Data'!J19,0)</f>
        <v>731</v>
      </c>
      <c r="K86" s="18">
        <f>IFERROR('Cash Flow Data'!K19,0)</f>
        <v>1530</v>
      </c>
      <c r="L86" s="18">
        <f>IFERROR('Cash Flow Data'!L19,0)</f>
        <v>1616</v>
      </c>
    </row>
    <row r="87" spans="2:15" x14ac:dyDescent="0.3">
      <c r="B87" t="s">
        <v>100</v>
      </c>
      <c r="C87" s="18">
        <f>IFERROR('Cash Flow Data'!C20,0)</f>
        <v>18</v>
      </c>
      <c r="D87" s="18">
        <f>IFERROR('Cash Flow Data'!D20,0)</f>
        <v>22</v>
      </c>
      <c r="E87" s="18">
        <f>IFERROR('Cash Flow Data'!E20,0)</f>
        <v>14</v>
      </c>
      <c r="F87" s="18">
        <f>IFERROR('Cash Flow Data'!F20,0)</f>
        <v>17</v>
      </c>
      <c r="G87" s="18">
        <f>IFERROR('Cash Flow Data'!G20,0)</f>
        <v>16</v>
      </c>
      <c r="H87" s="18">
        <f>IFERROR('Cash Flow Data'!H20,0)</f>
        <v>16</v>
      </c>
      <c r="I87" s="18">
        <f>IFERROR('Cash Flow Data'!I20,0)</f>
        <v>19</v>
      </c>
      <c r="J87" s="18">
        <f>IFERROR('Cash Flow Data'!J20,0)</f>
        <v>21</v>
      </c>
      <c r="K87" s="18">
        <f>IFERROR('Cash Flow Data'!K20,0)</f>
        <v>15</v>
      </c>
      <c r="L87" s="18">
        <f>IFERROR('Cash Flow Data'!L20,0)</f>
        <v>8</v>
      </c>
    </row>
    <row r="88" spans="2:15" x14ac:dyDescent="0.3">
      <c r="B88" t="s">
        <v>101</v>
      </c>
      <c r="C88" s="18">
        <f>IFERROR('Cash Flow Data'!C21,0)</f>
        <v>0</v>
      </c>
      <c r="D88" s="18">
        <f>IFERROR('Cash Flow Data'!D21,0)</f>
        <v>0</v>
      </c>
      <c r="E88" s="18">
        <f>IFERROR('Cash Flow Data'!E21,0)</f>
        <v>35</v>
      </c>
      <c r="F88" s="18">
        <f>IFERROR('Cash Flow Data'!F21,0)</f>
        <v>2</v>
      </c>
      <c r="G88" s="18">
        <f>IFERROR('Cash Flow Data'!G21,0)</f>
        <v>1</v>
      </c>
      <c r="H88" s="18">
        <f>IFERROR('Cash Flow Data'!H21,0)</f>
        <v>2</v>
      </c>
      <c r="I88" s="18">
        <f>IFERROR('Cash Flow Data'!I21,0)</f>
        <v>15</v>
      </c>
      <c r="J88" s="18">
        <f>IFERROR('Cash Flow Data'!J21,0)</f>
        <v>5</v>
      </c>
      <c r="K88" s="18">
        <f>IFERROR('Cash Flow Data'!K21,0)</f>
        <v>109</v>
      </c>
      <c r="L88" s="18">
        <f>IFERROR('Cash Flow Data'!L21,0)</f>
        <v>148</v>
      </c>
    </row>
    <row r="89" spans="2:15" x14ac:dyDescent="0.3">
      <c r="B89" t="s">
        <v>102</v>
      </c>
      <c r="C89" s="18">
        <f>IFERROR('Cash Flow Data'!C22,0)</f>
        <v>0</v>
      </c>
      <c r="D89" s="18">
        <f>IFERROR('Cash Flow Data'!D22,0)</f>
        <v>0</v>
      </c>
      <c r="E89" s="18">
        <f>IFERROR('Cash Flow Data'!E22,0)</f>
        <v>13</v>
      </c>
      <c r="F89" s="18">
        <f>IFERROR('Cash Flow Data'!F22,0)</f>
        <v>0</v>
      </c>
      <c r="G89" s="18">
        <f>IFERROR('Cash Flow Data'!G22,0)</f>
        <v>0</v>
      </c>
      <c r="H89" s="18">
        <f>IFERROR('Cash Flow Data'!H22,0)</f>
        <v>0</v>
      </c>
      <c r="I89" s="18">
        <f>IFERROR('Cash Flow Data'!I22,0)</f>
        <v>0</v>
      </c>
      <c r="J89" s="18">
        <f>IFERROR('Cash Flow Data'!J22,0)</f>
        <v>0</v>
      </c>
      <c r="K89" s="18">
        <f>IFERROR('Cash Flow Data'!K22,0)</f>
        <v>0</v>
      </c>
      <c r="L89" s="18">
        <f>IFERROR('Cash Flow Data'!L22,0)</f>
        <v>0</v>
      </c>
    </row>
    <row r="90" spans="2:15" x14ac:dyDescent="0.3">
      <c r="B90" t="s">
        <v>103</v>
      </c>
      <c r="C90" s="18">
        <f>IFERROR('Cash Flow Data'!C23,0)</f>
        <v>0</v>
      </c>
      <c r="D90" s="18">
        <f>IFERROR('Cash Flow Data'!D23,0)</f>
        <v>0</v>
      </c>
      <c r="E90" s="18">
        <f>IFERROR('Cash Flow Data'!E23,0)</f>
        <v>-11</v>
      </c>
      <c r="F90" s="18">
        <f>IFERROR('Cash Flow Data'!F23,0)</f>
        <v>-8</v>
      </c>
      <c r="G90" s="18">
        <f>IFERROR('Cash Flow Data'!G23,0)</f>
        <v>-7</v>
      </c>
      <c r="H90" s="18">
        <f>IFERROR('Cash Flow Data'!H23,0)</f>
        <v>-85</v>
      </c>
      <c r="I90" s="18">
        <f>IFERROR('Cash Flow Data'!I23,0)</f>
        <v>-22</v>
      </c>
      <c r="J90" s="18">
        <f>IFERROR('Cash Flow Data'!J23,0)</f>
        <v>-45</v>
      </c>
      <c r="K90" s="18">
        <f>IFERROR('Cash Flow Data'!K23,0)</f>
        <v>-66</v>
      </c>
      <c r="L90" s="18">
        <f>IFERROR('Cash Flow Data'!L23,0)</f>
        <v>-52</v>
      </c>
    </row>
    <row r="91" spans="2:15" x14ac:dyDescent="0.3">
      <c r="B91" t="s">
        <v>104</v>
      </c>
      <c r="C91" s="18">
        <f>IFERROR('Cash Flow Data'!C24,0)</f>
        <v>48</v>
      </c>
      <c r="D91" s="18">
        <f>IFERROR('Cash Flow Data'!D24,0)</f>
        <v>45</v>
      </c>
      <c r="E91" s="18">
        <f>IFERROR('Cash Flow Data'!E24,0)</f>
        <v>0</v>
      </c>
      <c r="F91" s="18">
        <f>IFERROR('Cash Flow Data'!F24,0)</f>
        <v>0</v>
      </c>
      <c r="G91" s="18">
        <f>IFERROR('Cash Flow Data'!G24,0)</f>
        <v>0</v>
      </c>
      <c r="H91" s="18">
        <f>IFERROR('Cash Flow Data'!H24,0)</f>
        <v>0</v>
      </c>
      <c r="I91" s="18">
        <f>IFERROR('Cash Flow Data'!I24,0)</f>
        <v>-49</v>
      </c>
      <c r="J91" s="18">
        <f>IFERROR('Cash Flow Data'!J24,0)</f>
        <v>-12</v>
      </c>
      <c r="K91" s="18">
        <f>IFERROR('Cash Flow Data'!K24,0)</f>
        <v>0</v>
      </c>
      <c r="L91" s="18">
        <f>IFERROR('Cash Flow Data'!L24,0)</f>
        <v>10</v>
      </c>
    </row>
    <row r="92" spans="2:15" x14ac:dyDescent="0.3">
      <c r="B92" s="22" t="s">
        <v>115</v>
      </c>
      <c r="C92" s="26">
        <f t="shared" ref="C92:L92" si="24">SUM(C83:C91)</f>
        <v>-49</v>
      </c>
      <c r="D92" s="26">
        <f t="shared" si="24"/>
        <v>-307</v>
      </c>
      <c r="E92" s="26">
        <f t="shared" si="24"/>
        <v>-98</v>
      </c>
      <c r="F92" s="26">
        <f t="shared" si="24"/>
        <v>-44</v>
      </c>
      <c r="G92" s="26">
        <f t="shared" si="24"/>
        <v>-3</v>
      </c>
      <c r="H92" s="26">
        <f t="shared" si="24"/>
        <v>-38</v>
      </c>
      <c r="I92" s="26">
        <f t="shared" si="24"/>
        <v>-809</v>
      </c>
      <c r="J92" s="26">
        <f t="shared" si="24"/>
        <v>18</v>
      </c>
      <c r="K92" s="26">
        <f t="shared" si="24"/>
        <v>56</v>
      </c>
      <c r="L92" s="26">
        <f t="shared" si="24"/>
        <v>-103</v>
      </c>
    </row>
    <row r="94" spans="2:15" x14ac:dyDescent="0.3">
      <c r="B94" s="2" t="s">
        <v>117</v>
      </c>
      <c r="N94" s="2"/>
    </row>
    <row r="95" spans="2:15" x14ac:dyDescent="0.3">
      <c r="B95" t="s">
        <v>106</v>
      </c>
      <c r="C95" s="18">
        <f>IFERROR('Cash Flow Data'!C27,0)</f>
        <v>0</v>
      </c>
      <c r="D95" s="18">
        <f>IFERROR('Cash Flow Data'!D27,0)</f>
        <v>0</v>
      </c>
      <c r="E95" s="18">
        <f>IFERROR('Cash Flow Data'!E27,0)</f>
        <v>310</v>
      </c>
      <c r="F95" s="18">
        <f>IFERROR('Cash Flow Data'!F27,0)</f>
        <v>100</v>
      </c>
      <c r="G95" s="18">
        <f>IFERROR('Cash Flow Data'!G27,0)</f>
        <v>0</v>
      </c>
      <c r="H95" s="18">
        <f>IFERROR('Cash Flow Data'!H27,0)</f>
        <v>0</v>
      </c>
      <c r="I95" s="18">
        <f>IFERROR('Cash Flow Data'!I27,0)</f>
        <v>1032</v>
      </c>
      <c r="J95" s="18">
        <f>IFERROR('Cash Flow Data'!J27,0)</f>
        <v>0</v>
      </c>
      <c r="K95" s="18">
        <f>IFERROR('Cash Flow Data'!K27,0)</f>
        <v>551</v>
      </c>
      <c r="L95" s="18">
        <f>IFERROR('Cash Flow Data'!L27,0)</f>
        <v>46</v>
      </c>
    </row>
    <row r="96" spans="2:15" x14ac:dyDescent="0.3">
      <c r="B96" t="s">
        <v>107</v>
      </c>
      <c r="C96" s="18">
        <f>IFERROR('Cash Flow Data'!C28,0)</f>
        <v>0</v>
      </c>
      <c r="D96" s="18">
        <f>IFERROR('Cash Flow Data'!D28,0)</f>
        <v>0</v>
      </c>
      <c r="E96" s="18">
        <f>IFERROR('Cash Flow Data'!E28,0)</f>
        <v>4</v>
      </c>
      <c r="F96" s="18">
        <f>IFERROR('Cash Flow Data'!F28,0)</f>
        <v>238</v>
      </c>
      <c r="G96" s="18">
        <f>IFERROR('Cash Flow Data'!G28,0)</f>
        <v>382</v>
      </c>
      <c r="H96" s="18">
        <f>IFERROR('Cash Flow Data'!H28,0)</f>
        <v>392</v>
      </c>
      <c r="I96" s="18">
        <f>IFERROR('Cash Flow Data'!I28,0)</f>
        <v>93</v>
      </c>
      <c r="J96" s="18">
        <f>IFERROR('Cash Flow Data'!J28,0)</f>
        <v>0</v>
      </c>
      <c r="K96" s="18">
        <f>IFERROR('Cash Flow Data'!K28,0)</f>
        <v>0</v>
      </c>
      <c r="L96" s="18">
        <f>IFERROR('Cash Flow Data'!L28,0)</f>
        <v>173</v>
      </c>
    </row>
    <row r="97" spans="1:12" x14ac:dyDescent="0.3">
      <c r="B97" t="s">
        <v>108</v>
      </c>
      <c r="C97" s="18">
        <f>IFERROR('Cash Flow Data'!C29,0)</f>
        <v>-4</v>
      </c>
      <c r="D97" s="18">
        <f>IFERROR('Cash Flow Data'!D29,0)</f>
        <v>-1</v>
      </c>
      <c r="E97" s="18">
        <f>IFERROR('Cash Flow Data'!E29,0)</f>
        <v>0</v>
      </c>
      <c r="F97" s="18">
        <f>IFERROR('Cash Flow Data'!F29,0)</f>
        <v>-48</v>
      </c>
      <c r="G97" s="18">
        <f>IFERROR('Cash Flow Data'!G29,0)</f>
        <v>-282</v>
      </c>
      <c r="H97" s="18">
        <f>IFERROR('Cash Flow Data'!H29,0)</f>
        <v>-286</v>
      </c>
      <c r="I97" s="18">
        <f>IFERROR('Cash Flow Data'!I29,0)</f>
        <v>-186</v>
      </c>
      <c r="J97" s="18">
        <f>IFERROR('Cash Flow Data'!J29,0)</f>
        <v>0</v>
      </c>
      <c r="K97" s="18">
        <f>IFERROR('Cash Flow Data'!K29,0)</f>
        <v>-301</v>
      </c>
      <c r="L97" s="18">
        <f>IFERROR('Cash Flow Data'!L29,0)</f>
        <v>-173</v>
      </c>
    </row>
    <row r="98" spans="1:12" x14ac:dyDescent="0.3">
      <c r="B98" t="s">
        <v>109</v>
      </c>
      <c r="C98" s="18">
        <f>IFERROR('Cash Flow Data'!C30,0)</f>
        <v>-12</v>
      </c>
      <c r="D98" s="18">
        <f>IFERROR('Cash Flow Data'!D30,0)</f>
        <v>-11</v>
      </c>
      <c r="E98" s="18">
        <f>IFERROR('Cash Flow Data'!E30,0)</f>
        <v>-21</v>
      </c>
      <c r="F98" s="18">
        <f>IFERROR('Cash Flow Data'!F30,0)</f>
        <v>-36</v>
      </c>
      <c r="G98" s="18">
        <f>IFERROR('Cash Flow Data'!G30,0)</f>
        <v>-32</v>
      </c>
      <c r="H98" s="18">
        <f>IFERROR('Cash Flow Data'!H30,0)</f>
        <v>-23</v>
      </c>
      <c r="I98" s="18">
        <f>IFERROR('Cash Flow Data'!I30,0)</f>
        <v>-251</v>
      </c>
      <c r="J98" s="18">
        <f>IFERROR('Cash Flow Data'!J30,0)</f>
        <v>-184</v>
      </c>
      <c r="K98" s="18">
        <f>IFERROR('Cash Flow Data'!K30,0)</f>
        <v>-246</v>
      </c>
      <c r="L98" s="18">
        <f>IFERROR('Cash Flow Data'!L30,0)</f>
        <v>-359</v>
      </c>
    </row>
    <row r="99" spans="1:12" x14ac:dyDescent="0.3">
      <c r="B99" t="s">
        <v>110</v>
      </c>
      <c r="C99" s="18">
        <f>IFERROR('Cash Flow Data'!C31,0)</f>
        <v>-27</v>
      </c>
      <c r="D99" s="18">
        <f>IFERROR('Cash Flow Data'!D31,0)</f>
        <v>-27</v>
      </c>
      <c r="E99" s="18">
        <f>IFERROR('Cash Flow Data'!E31,0)</f>
        <v>-76</v>
      </c>
      <c r="F99" s="18">
        <f>IFERROR('Cash Flow Data'!F31,0)</f>
        <v>-1</v>
      </c>
      <c r="G99" s="18">
        <f>IFERROR('Cash Flow Data'!G31,0)</f>
        <v>-40</v>
      </c>
      <c r="H99" s="18">
        <f>IFERROR('Cash Flow Data'!H31,0)</f>
        <v>-46</v>
      </c>
      <c r="I99" s="18">
        <f>IFERROR('Cash Flow Data'!I31,0)</f>
        <v>-52</v>
      </c>
      <c r="J99" s="18">
        <f>IFERROR('Cash Flow Data'!J31,0)</f>
        <v>-36</v>
      </c>
      <c r="K99" s="18">
        <f>IFERROR('Cash Flow Data'!K31,0)</f>
        <v>-43</v>
      </c>
      <c r="L99" s="18">
        <f>IFERROR('Cash Flow Data'!L31,0)</f>
        <v>-39</v>
      </c>
    </row>
    <row r="100" spans="1:12" x14ac:dyDescent="0.3">
      <c r="B100" t="s">
        <v>111</v>
      </c>
      <c r="C100" s="18">
        <f>IFERROR('Cash Flow Data'!C32,0)</f>
        <v>0</v>
      </c>
      <c r="D100" s="18">
        <f>IFERROR('Cash Flow Data'!D32,0)</f>
        <v>0</v>
      </c>
      <c r="E100" s="18">
        <f>IFERROR('Cash Flow Data'!E32,0)</f>
        <v>0</v>
      </c>
      <c r="F100" s="18">
        <f>IFERROR('Cash Flow Data'!F32,0)</f>
        <v>0</v>
      </c>
      <c r="G100" s="18">
        <f>IFERROR('Cash Flow Data'!G32,0)</f>
        <v>0</v>
      </c>
      <c r="H100" s="18">
        <f>IFERROR('Cash Flow Data'!H32,0)</f>
        <v>0</v>
      </c>
      <c r="I100" s="18">
        <f>IFERROR('Cash Flow Data'!I32,0)</f>
        <v>-84</v>
      </c>
      <c r="J100" s="18">
        <f>IFERROR('Cash Flow Data'!J32,0)</f>
        <v>-63</v>
      </c>
      <c r="K100" s="18">
        <f>IFERROR('Cash Flow Data'!K32,0)</f>
        <v>-69</v>
      </c>
      <c r="L100" s="18">
        <f>IFERROR('Cash Flow Data'!L32,0)</f>
        <v>-140</v>
      </c>
    </row>
    <row r="101" spans="1:12" x14ac:dyDescent="0.3">
      <c r="B101" t="s">
        <v>158</v>
      </c>
      <c r="C101" s="18">
        <f>IFERROR('Cash Flow Data'!C33,0)</f>
        <v>0</v>
      </c>
      <c r="D101" s="18">
        <f>IFERROR('Cash Flow Data'!D33,0)</f>
        <v>0</v>
      </c>
      <c r="E101" s="18">
        <f>IFERROR('Cash Flow Data'!E33,0)</f>
        <v>0</v>
      </c>
      <c r="F101" s="18">
        <f>IFERROR('Cash Flow Data'!F33,0)</f>
        <v>0</v>
      </c>
      <c r="G101" s="18">
        <f>IFERROR('Cash Flow Data'!G33,0)</f>
        <v>0</v>
      </c>
      <c r="H101" s="18">
        <f>IFERROR('Cash Flow Data'!H33,0)</f>
        <v>0</v>
      </c>
      <c r="I101" s="18">
        <f>IFERROR('Cash Flow Data'!I33,0)</f>
        <v>0</v>
      </c>
      <c r="J101" s="18">
        <f>IFERROR('Cash Flow Data'!J33,0)</f>
        <v>0</v>
      </c>
      <c r="K101" s="18">
        <f>IFERROR('Cash Flow Data'!K33,0)</f>
        <v>0</v>
      </c>
      <c r="L101" s="18">
        <f>IFERROR('Cash Flow Data'!L33,0)</f>
        <v>0</v>
      </c>
    </row>
    <row r="102" spans="1:12" x14ac:dyDescent="0.3">
      <c r="B102" t="s">
        <v>159</v>
      </c>
      <c r="C102" s="18">
        <f>IFERROR('Cash Flow Data'!C34,0)</f>
        <v>0</v>
      </c>
      <c r="D102" s="18">
        <f>IFERROR('Cash Flow Data'!D34,0)</f>
        <v>0</v>
      </c>
      <c r="E102" s="18">
        <f>IFERROR('Cash Flow Data'!E34,0)</f>
        <v>0</v>
      </c>
      <c r="F102" s="18">
        <f>IFERROR('Cash Flow Data'!F34,0)</f>
        <v>0</v>
      </c>
      <c r="G102" s="18">
        <f>IFERROR('Cash Flow Data'!G34,0)</f>
        <v>0</v>
      </c>
      <c r="H102" s="18">
        <f>IFERROR('Cash Flow Data'!H34,0)</f>
        <v>0</v>
      </c>
      <c r="I102" s="18">
        <f>IFERROR('Cash Flow Data'!I34,0)</f>
        <v>0</v>
      </c>
      <c r="J102" s="18">
        <f>IFERROR('Cash Flow Data'!J34,0)</f>
        <v>0</v>
      </c>
      <c r="K102" s="18">
        <f>IFERROR('Cash Flow Data'!K34,0)</f>
        <v>0</v>
      </c>
      <c r="L102" s="18">
        <f>IFERROR('Cash Flow Data'!L34,0)</f>
        <v>0</v>
      </c>
    </row>
    <row r="103" spans="1:12" x14ac:dyDescent="0.3">
      <c r="B103" t="s">
        <v>112</v>
      </c>
      <c r="C103" s="18">
        <f>IFERROR('Cash Flow Data'!C35,0)</f>
        <v>-7</v>
      </c>
      <c r="D103" s="18">
        <f>IFERROR('Cash Flow Data'!D35,0)</f>
        <v>349</v>
      </c>
      <c r="E103" s="18">
        <f>IFERROR('Cash Flow Data'!E35,0)</f>
        <v>-230</v>
      </c>
      <c r="F103" s="18">
        <f>IFERROR('Cash Flow Data'!F35,0)</f>
        <v>-303</v>
      </c>
      <c r="G103" s="18">
        <f>IFERROR('Cash Flow Data'!G35,0)</f>
        <v>-102</v>
      </c>
      <c r="H103" s="18">
        <f>IFERROR('Cash Flow Data'!H35,0)</f>
        <v>0</v>
      </c>
      <c r="I103" s="18">
        <f>IFERROR('Cash Flow Data'!I35,0)</f>
        <v>-100</v>
      </c>
      <c r="J103" s="18">
        <f>IFERROR('Cash Flow Data'!J35,0)</f>
        <v>0</v>
      </c>
      <c r="K103" s="18">
        <f>IFERROR('Cash Flow Data'!K35,0)</f>
        <v>0</v>
      </c>
      <c r="L103" s="18">
        <f>IFERROR('Cash Flow Data'!L35,0)</f>
        <v>0</v>
      </c>
    </row>
    <row r="104" spans="1:12" x14ac:dyDescent="0.3">
      <c r="B104" s="22" t="s">
        <v>118</v>
      </c>
      <c r="C104" s="26">
        <f>SUM(C95:C103)</f>
        <v>-50</v>
      </c>
      <c r="D104" s="26">
        <f t="shared" ref="D104:L104" si="25">SUM(D95:D103)</f>
        <v>310</v>
      </c>
      <c r="E104" s="26">
        <f t="shared" si="25"/>
        <v>-13</v>
      </c>
      <c r="F104" s="26">
        <f t="shared" si="25"/>
        <v>-50</v>
      </c>
      <c r="G104" s="26">
        <f t="shared" si="25"/>
        <v>-74</v>
      </c>
      <c r="H104" s="26">
        <f t="shared" si="25"/>
        <v>37</v>
      </c>
      <c r="I104" s="26">
        <f t="shared" si="25"/>
        <v>452</v>
      </c>
      <c r="J104" s="26">
        <f t="shared" si="25"/>
        <v>-283</v>
      </c>
      <c r="K104" s="26">
        <f t="shared" si="25"/>
        <v>-108</v>
      </c>
      <c r="L104" s="26">
        <f t="shared" si="25"/>
        <v>-492</v>
      </c>
    </row>
    <row r="106" spans="1:12" ht="15" thickBot="1" x14ac:dyDescent="0.35">
      <c r="B106" s="42" t="s">
        <v>20</v>
      </c>
      <c r="C106" s="43">
        <f t="shared" ref="C106:L106" si="26">C104+C92+C80</f>
        <v>-198</v>
      </c>
      <c r="D106" s="43">
        <f t="shared" si="26"/>
        <v>-68</v>
      </c>
      <c r="E106" s="43">
        <f t="shared" si="26"/>
        <v>29</v>
      </c>
      <c r="F106" s="43">
        <f t="shared" si="26"/>
        <v>-14</v>
      </c>
      <c r="G106" s="43">
        <f t="shared" si="26"/>
        <v>-63</v>
      </c>
      <c r="H106" s="43">
        <f t="shared" si="26"/>
        <v>-115</v>
      </c>
      <c r="I106" s="43">
        <f t="shared" si="26"/>
        <v>-93</v>
      </c>
      <c r="J106" s="43">
        <f t="shared" si="26"/>
        <v>126</v>
      </c>
      <c r="K106" s="43">
        <f t="shared" si="26"/>
        <v>-425</v>
      </c>
      <c r="L106" s="44">
        <f t="shared" si="26"/>
        <v>-293</v>
      </c>
    </row>
    <row r="107" spans="1:12" ht="15" thickTop="1" x14ac:dyDescent="0.3"/>
    <row r="108" spans="1:12" x14ac:dyDescent="0.3">
      <c r="A108" t="s">
        <v>56</v>
      </c>
      <c r="B108" s="20" t="s">
        <v>119</v>
      </c>
    </row>
    <row r="110" spans="1:12" x14ac:dyDescent="0.3">
      <c r="B110" s="4" t="s">
        <v>17</v>
      </c>
      <c r="C110" s="18">
        <f>IFERROR('Data Sheet'!B82,0)</f>
        <v>-45.63</v>
      </c>
      <c r="D110" s="18">
        <f>IFERROR('Data Sheet'!C82,0)</f>
        <v>-10.1</v>
      </c>
      <c r="E110" s="18">
        <f>IFERROR('Data Sheet'!D82,0)</f>
        <v>109.42</v>
      </c>
      <c r="F110" s="18">
        <f>IFERROR('Data Sheet'!E82,0)</f>
        <v>102.44</v>
      </c>
      <c r="G110" s="18">
        <f>IFERROR('Data Sheet'!F82,0)</f>
        <v>76.86</v>
      </c>
      <c r="H110" s="18">
        <f>IFERROR('Data Sheet'!G82,0)</f>
        <v>20.98</v>
      </c>
      <c r="I110" s="18">
        <f>IFERROR('Data Sheet'!H82,0)</f>
        <v>361.16</v>
      </c>
      <c r="J110" s="18">
        <f>IFERROR('Data Sheet'!I82,0)</f>
        <v>285.02999999999997</v>
      </c>
      <c r="K110" s="18">
        <f>IFERROR('Data Sheet'!J82,0)</f>
        <v>58.08</v>
      </c>
      <c r="L110" s="18">
        <f>IFERROR('Data Sheet'!K82,0)</f>
        <v>594.88</v>
      </c>
    </row>
    <row r="111" spans="1:12" x14ac:dyDescent="0.3">
      <c r="B111" s="4" t="s">
        <v>18</v>
      </c>
      <c r="C111" s="18">
        <f>IFERROR('Data Sheet'!B83,0)</f>
        <v>-48.47</v>
      </c>
      <c r="D111" s="18">
        <f>IFERROR('Data Sheet'!C83,0)</f>
        <v>-306.2</v>
      </c>
      <c r="E111" s="18">
        <f>IFERROR('Data Sheet'!D83,0)</f>
        <v>-98.4</v>
      </c>
      <c r="F111" s="18">
        <f>IFERROR('Data Sheet'!E83,0)</f>
        <v>-43.7</v>
      </c>
      <c r="G111" s="18">
        <f>IFERROR('Data Sheet'!F83,0)</f>
        <v>-4.0199999999999996</v>
      </c>
      <c r="H111" s="18">
        <f>IFERROR('Data Sheet'!G83,0)</f>
        <v>-37.03</v>
      </c>
      <c r="I111" s="18">
        <f>IFERROR('Data Sheet'!H83,0)</f>
        <v>-808.56</v>
      </c>
      <c r="J111" s="18">
        <f>IFERROR('Data Sheet'!I83,0)</f>
        <v>17.71</v>
      </c>
      <c r="K111" s="18">
        <f>IFERROR('Data Sheet'!J83,0)</f>
        <v>56.03</v>
      </c>
      <c r="L111" s="18">
        <f>IFERROR('Data Sheet'!K83,0)</f>
        <v>-102.63</v>
      </c>
    </row>
    <row r="112" spans="1:12" x14ac:dyDescent="0.3">
      <c r="B112" s="4" t="s">
        <v>19</v>
      </c>
      <c r="C112" s="18">
        <f>IFERROR('Data Sheet'!B84,0)</f>
        <v>-50.48</v>
      </c>
      <c r="D112" s="18">
        <f>IFERROR('Data Sheet'!C84,0)</f>
        <v>309.87</v>
      </c>
      <c r="E112" s="18">
        <f>IFERROR('Data Sheet'!D84,0)</f>
        <v>-13.33</v>
      </c>
      <c r="F112" s="18">
        <f>IFERROR('Data Sheet'!E84,0)</f>
        <v>-51.36</v>
      </c>
      <c r="G112" s="18">
        <f>IFERROR('Data Sheet'!F84,0)</f>
        <v>-74.31</v>
      </c>
      <c r="H112" s="18">
        <f>IFERROR('Data Sheet'!G84,0)</f>
        <v>37.47</v>
      </c>
      <c r="I112" s="18">
        <f>IFERROR('Data Sheet'!H84,0)</f>
        <v>451.94</v>
      </c>
      <c r="J112" s="18">
        <f>IFERROR('Data Sheet'!I84,0)</f>
        <v>-283.11</v>
      </c>
      <c r="K112" s="18">
        <f>IFERROR('Data Sheet'!J84,0)</f>
        <v>-107.98</v>
      </c>
      <c r="L112" s="18">
        <f>IFERROR('Data Sheet'!K84,0)</f>
        <v>-491.41</v>
      </c>
    </row>
    <row r="113" spans="2:12" x14ac:dyDescent="0.3">
      <c r="B113" s="1" t="s">
        <v>20</v>
      </c>
      <c r="C113" s="45">
        <f>IFERROR('Data Sheet'!B85,0)</f>
        <v>-144.58000000000001</v>
      </c>
      <c r="D113" s="45">
        <f>IFERROR('Data Sheet'!C85,0)</f>
        <v>-6.43</v>
      </c>
      <c r="E113" s="45">
        <f>IFERROR('Data Sheet'!D85,0)</f>
        <v>-2.31</v>
      </c>
      <c r="F113" s="45">
        <f>IFERROR('Data Sheet'!E85,0)</f>
        <v>7.38</v>
      </c>
      <c r="G113" s="45">
        <f>IFERROR('Data Sheet'!F85,0)</f>
        <v>-1.47</v>
      </c>
      <c r="H113" s="45">
        <f>IFERROR('Data Sheet'!G85,0)</f>
        <v>21.42</v>
      </c>
      <c r="I113" s="45">
        <f>IFERROR('Data Sheet'!H85,0)</f>
        <v>4.54</v>
      </c>
      <c r="J113" s="45">
        <f>IFERROR('Data Sheet'!I85,0)</f>
        <v>19.63</v>
      </c>
      <c r="K113" s="45">
        <f>IFERROR('Data Sheet'!J85,0)</f>
        <v>6.13</v>
      </c>
      <c r="L113" s="45">
        <f>IFERROR('Data Sheet'!K85,0)</f>
        <v>0.84</v>
      </c>
    </row>
  </sheetData>
  <mergeCells count="4">
    <mergeCell ref="B2:L2"/>
    <mergeCell ref="B5:L5"/>
    <mergeCell ref="B46:L46"/>
    <mergeCell ref="B68:L6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AC6B-0280-442D-BED4-453DEE2C39AB}">
  <dimension ref="B1:O41"/>
  <sheetViews>
    <sheetView showGridLines="0"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.88671875" customWidth="1"/>
    <col min="2" max="2" width="29.33203125" style="8" customWidth="1"/>
    <col min="3" max="12" width="12.77734375" customWidth="1"/>
    <col min="13" max="13" width="14.77734375" customWidth="1"/>
    <col min="14" max="14" width="8.6640625" bestFit="1" customWidth="1"/>
    <col min="15" max="15" width="7.6640625" bestFit="1" customWidth="1"/>
  </cols>
  <sheetData>
    <row r="1" spans="2:15" x14ac:dyDescent="0.3">
      <c r="B1"/>
    </row>
    <row r="2" spans="2:15" x14ac:dyDescent="0.3">
      <c r="B2" s="73" t="str">
        <f>"Ratio Analysis - "&amp;'Data Sheet'!B1</f>
        <v>Ratio Analysis - TRENT LTD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2:15" x14ac:dyDescent="0.3">
      <c r="B3" s="33" t="s">
        <v>55</v>
      </c>
      <c r="C3" s="34">
        <f>'Data Sheet'!B16</f>
        <v>41729</v>
      </c>
      <c r="D3" s="34">
        <f>'Data Sheet'!C16</f>
        <v>42094</v>
      </c>
      <c r="E3" s="34">
        <f>'Data Sheet'!D16</f>
        <v>42460</v>
      </c>
      <c r="F3" s="34">
        <f>'Data Sheet'!E16</f>
        <v>42825</v>
      </c>
      <c r="G3" s="34">
        <f>'Data Sheet'!F16</f>
        <v>43190</v>
      </c>
      <c r="H3" s="34">
        <f>'Data Sheet'!G16</f>
        <v>43555</v>
      </c>
      <c r="I3" s="34">
        <f>'Data Sheet'!H16</f>
        <v>43921</v>
      </c>
      <c r="J3" s="34">
        <f>'Data Sheet'!I16</f>
        <v>44286</v>
      </c>
      <c r="K3" s="34">
        <f>'Data Sheet'!J16</f>
        <v>44651</v>
      </c>
      <c r="L3" s="34">
        <f>'Data Sheet'!K16</f>
        <v>45016</v>
      </c>
      <c r="M3" s="63" t="s">
        <v>150</v>
      </c>
      <c r="N3" s="63" t="s">
        <v>148</v>
      </c>
      <c r="O3" s="63" t="s">
        <v>149</v>
      </c>
    </row>
    <row r="5" spans="2:15" x14ac:dyDescent="0.3">
      <c r="B5" s="49" t="s">
        <v>9</v>
      </c>
      <c r="C5" s="59" t="s">
        <v>147</v>
      </c>
      <c r="D5" s="51">
        <f>IFERROR('Historical FS'!D7,0)</f>
        <v>-2.0887448670798725E-2</v>
      </c>
      <c r="E5" s="51">
        <f>IFERROR('Historical FS'!E7,0)</f>
        <v>-0.26182773339170407</v>
      </c>
      <c r="F5" s="51">
        <f>IFERROR('Historical FS'!F7,0)</f>
        <v>7.4885687682736624E-2</v>
      </c>
      <c r="G5" s="51">
        <f>IFERROR('Historical FS'!G7,0)</f>
        <v>0.19036216371300574</v>
      </c>
      <c r="H5" s="51">
        <f>IFERROR('Historical FS'!H7,0)</f>
        <v>0.21913731888424337</v>
      </c>
      <c r="I5" s="51">
        <f>IFERROR('Historical FS'!I7,0)</f>
        <v>0.32534673641949041</v>
      </c>
      <c r="J5" s="51">
        <f>IFERROR('Historical FS'!J7,0)</f>
        <v>-0.25617473422107984</v>
      </c>
      <c r="K5" s="51">
        <f>IFERROR('Historical FS'!K7,0)</f>
        <v>0.73470473898556099</v>
      </c>
      <c r="L5" s="51">
        <f>IFERROR('Historical FS'!L7,0)</f>
        <v>0.83236624114610414</v>
      </c>
      <c r="M5" s="50"/>
      <c r="N5" s="51">
        <f>IFERROR(AVERAGE(D5:L5),0)</f>
        <v>0.20421255228306209</v>
      </c>
      <c r="O5" s="51">
        <f>IFERROR(MEDIAN(C5:L5),0)</f>
        <v>0.19036216371300574</v>
      </c>
    </row>
    <row r="6" spans="2:15" x14ac:dyDescent="0.3">
      <c r="B6" s="8" t="s">
        <v>120</v>
      </c>
      <c r="C6" s="13" t="s">
        <v>147</v>
      </c>
      <c r="D6" s="48">
        <f>IFERROR('Historical FS'!D18/'Historical FS'!C18-1,0)</f>
        <v>-9.806419257773392</v>
      </c>
      <c r="E6" s="48">
        <f>IFERROR('Historical FS'!E18/'Historical FS'!D18-1,0)</f>
        <v>2.2323462414578943E-2</v>
      </c>
      <c r="F6" s="48">
        <f>IFERROR('Historical FS'!F18/'Historical FS'!E18-1,0)</f>
        <v>0.48763368983957078</v>
      </c>
      <c r="G6" s="48">
        <f>IFERROR('Historical FS'!G18/'Historical FS'!F18-1,0)</f>
        <v>0.56144686587283998</v>
      </c>
      <c r="H6" s="48">
        <f>IFERROR('Historical FS'!H18/'Historical FS'!G18-1,0)</f>
        <v>0.15414868105515467</v>
      </c>
      <c r="I6" s="48">
        <f>IFERROR('Historical FS'!I18/'Historical FS'!H18-1,0)</f>
        <v>1.1981798537234041</v>
      </c>
      <c r="J6" s="48">
        <f>IFERROR('Historical FS'!J18/'Historical FS'!I18-1,0)</f>
        <v>-0.78473259353082458</v>
      </c>
      <c r="K6" s="48">
        <f>IFERROR('Historical FS'!K18/'Historical FS'!J18-1,0)</f>
        <v>4.222797927461162</v>
      </c>
      <c r="L6" s="48">
        <f>IFERROR('Historical FS'!L18/'Historical FS'!K18-1,0)</f>
        <v>0.87340260963142335</v>
      </c>
      <c r="N6" s="48">
        <f t="shared" ref="N6:N9" si="0">IFERROR(AVERAGE(D6:L6),0)</f>
        <v>-0.34124652903400904</v>
      </c>
      <c r="O6" s="48">
        <f t="shared" ref="O6:O31" si="1">IFERROR(MEDIAN(C6:L6),0)</f>
        <v>0.48763368983957078</v>
      </c>
    </row>
    <row r="7" spans="2:15" x14ac:dyDescent="0.3">
      <c r="B7" s="8" t="s">
        <v>126</v>
      </c>
      <c r="C7" s="13" t="s">
        <v>147</v>
      </c>
      <c r="D7" s="48">
        <f>IFERROR('Historical FS'!D27/'Historical FS'!C27-1,0)</f>
        <v>-0.90084954169461151</v>
      </c>
      <c r="E7" s="48">
        <f>IFERROR('Historical FS'!E27/'Historical FS'!D27-1,0)</f>
        <v>-1.3878241262683177</v>
      </c>
      <c r="F7" s="48">
        <f>IFERROR('Historical FS'!F27/'Historical FS'!E27-1,0)</f>
        <v>12.572674418604619</v>
      </c>
      <c r="G7" s="48">
        <f>IFERROR('Historical FS'!G27/'Historical FS'!F27-1,0)</f>
        <v>1.5527950310559109</v>
      </c>
      <c r="H7" s="48">
        <f>IFERROR('Historical FS'!H27/'Historical FS'!G27-1,0)</f>
        <v>0.16058394160583722</v>
      </c>
      <c r="I7" s="48">
        <f>IFERROR('Historical FS'!I27/'Historical FS'!H27-1,0)</f>
        <v>-0.86727391021470623</v>
      </c>
      <c r="J7" s="48">
        <f>IFERROR('Historical FS'!J27/'Historical FS'!I27-1,0)</f>
        <v>-23.01633986928146</v>
      </c>
      <c r="K7" s="48">
        <f>IFERROR('Historical FS'!K27/'Historical FS'!J27-1,0)</f>
        <v>-0.89871851961803173</v>
      </c>
      <c r="L7" s="48">
        <f>IFERROR('Historical FS'!L27/'Historical FS'!K27-1,0)</f>
        <v>-6.1653639472399906</v>
      </c>
      <c r="N7" s="48">
        <f t="shared" si="0"/>
        <v>-2.1055907247834167</v>
      </c>
      <c r="O7" s="48">
        <f t="shared" si="1"/>
        <v>-0.89871851961803173</v>
      </c>
    </row>
    <row r="8" spans="2:15" x14ac:dyDescent="0.3">
      <c r="B8" s="8" t="s">
        <v>121</v>
      </c>
      <c r="C8" s="13" t="s">
        <v>147</v>
      </c>
      <c r="D8" s="48">
        <f>IFERROR('Historical FS'!D33/'Historical FS'!C33-1,0)</f>
        <v>-0.28026987600291664</v>
      </c>
      <c r="E8" s="48">
        <f>IFERROR('Historical FS'!E33/'Historical FS'!D33-1,0)</f>
        <v>-0.60387636179376758</v>
      </c>
      <c r="F8" s="48">
        <f>IFERROR('Historical FS'!F33/'Historical FS'!E33-1,0)</f>
        <v>-1.1164055004796885</v>
      </c>
      <c r="G8" s="48">
        <f>IFERROR('Historical FS'!G33/'Historical FS'!F33-1,0)</f>
        <v>15.365384615385285</v>
      </c>
      <c r="H8" s="48">
        <f>IFERROR('Historical FS'!H33/'Historical FS'!G33-1,0)</f>
        <v>8.6452912539864757E-2</v>
      </c>
      <c r="I8" s="48">
        <f>IFERROR('Historical FS'!I33/'Historical FS'!H33-1,0)</f>
        <v>-1.6280902348578554</v>
      </c>
      <c r="J8" s="48">
        <f>IFERROR('Historical FS'!J33/'Historical FS'!I33-1,0)</f>
        <v>8.361131611316047</v>
      </c>
      <c r="K8" s="48">
        <f>IFERROR('Historical FS'!K33/'Historical FS'!J33-1,0)</f>
        <v>-0.69106246550863493</v>
      </c>
      <c r="L8" s="48">
        <f>IFERROR('Historical FS'!L33/'Historical FS'!K33-1,0)</f>
        <v>-1.4510888057162448</v>
      </c>
      <c r="N8" s="48">
        <f t="shared" si="0"/>
        <v>2.0046862105424541</v>
      </c>
      <c r="O8" s="48">
        <f t="shared" si="1"/>
        <v>-0.60387636179376758</v>
      </c>
    </row>
    <row r="9" spans="2:15" x14ac:dyDescent="0.3">
      <c r="B9" s="52" t="s">
        <v>122</v>
      </c>
      <c r="C9" s="13" t="s">
        <v>147</v>
      </c>
      <c r="D9" s="54">
        <f>IFERROR('Historical FS'!D41/'Historical FS'!C41-1,0)</f>
        <v>0.42863284608770402</v>
      </c>
      <c r="E9" s="54">
        <f>IFERROR('Historical FS'!E41/'Historical FS'!D41-1,0)</f>
        <v>-9.9909720132410396E-2</v>
      </c>
      <c r="F9" s="54">
        <f>IFERROR('Historical FS'!F41/'Historical FS'!E41-1,0)</f>
        <v>0.1109996656636576</v>
      </c>
      <c r="G9" s="54">
        <f>IFERROR('Historical FS'!G41/'Historical FS'!F41-1,0)</f>
        <v>0.14986458019861582</v>
      </c>
      <c r="H9" s="54">
        <f>IFERROR('Historical FS'!H41/'Historical FS'!G41-1,0)</f>
        <v>0.13059408531797967</v>
      </c>
      <c r="I9" s="54">
        <f>IFERROR('Historical FS'!I41/'Historical FS'!H41-1,0)</f>
        <v>-0.23078703703703707</v>
      </c>
      <c r="J9" s="54">
        <f>IFERROR('Historical FS'!J41/'Historical FS'!I41-1,0)</f>
        <v>-0.4</v>
      </c>
      <c r="K9" s="54">
        <f>IFERROR('Historical FS'!K41/'Historical FS'!J41-1,0)</f>
        <v>1.83356774496015</v>
      </c>
      <c r="L9" s="54">
        <f>IFERROR('Historical FS'!L41/'Historical FS'!K41-1,0)</f>
        <v>0.2940105890138982</v>
      </c>
      <c r="M9" s="53"/>
      <c r="N9" s="54">
        <f t="shared" si="0"/>
        <v>0.24633030600806199</v>
      </c>
      <c r="O9" s="54">
        <f t="shared" si="1"/>
        <v>0.13059408531797967</v>
      </c>
    </row>
    <row r="10" spans="2:15" x14ac:dyDescent="0.3">
      <c r="C10" s="58"/>
    </row>
    <row r="11" spans="2:15" x14ac:dyDescent="0.3">
      <c r="B11" s="49" t="s">
        <v>123</v>
      </c>
      <c r="C11" s="51">
        <f>IFERROR('Historical FS'!C13,0)</f>
        <v>0.22294661763066984</v>
      </c>
      <c r="D11" s="51">
        <f>IFERROR('Historical FS'!D13,0)</f>
        <v>0.26979533763817443</v>
      </c>
      <c r="E11" s="51">
        <f>IFERROR('Historical FS'!E13,0)</f>
        <v>0.35555726884003391</v>
      </c>
      <c r="F11" s="51">
        <f>IFERROR('Historical FS'!F13,0)</f>
        <v>0.33279446492021797</v>
      </c>
      <c r="G11" s="51">
        <f>IFERROR('Historical FS'!G13,0)</f>
        <v>0.34735290573174016</v>
      </c>
      <c r="H11" s="51">
        <f>IFERROR('Historical FS'!H13,0)</f>
        <v>0.32264736297828334</v>
      </c>
      <c r="I11" s="51">
        <f>IFERROR('Historical FS'!I13,0)</f>
        <v>0.30954566578121495</v>
      </c>
      <c r="J11" s="51">
        <f>IFERROR('Historical FS'!J13,0)</f>
        <v>0.23685286313710957</v>
      </c>
      <c r="K11" s="51">
        <f>IFERROR('Historical FS'!K13,0)</f>
        <v>0.31447837048301264</v>
      </c>
      <c r="L11" s="51">
        <f>IFERROR('Historical FS'!L13,0)</f>
        <v>0.30416572636319755</v>
      </c>
      <c r="M11" s="50"/>
      <c r="N11" s="51">
        <f>IFERROR(AVERAGE(C11:L11),0)</f>
        <v>0.30161365835036541</v>
      </c>
      <c r="O11" s="51">
        <f t="shared" si="1"/>
        <v>0.31201201813211377</v>
      </c>
    </row>
    <row r="12" spans="2:15" x14ac:dyDescent="0.3">
      <c r="B12" s="8" t="s">
        <v>65</v>
      </c>
      <c r="C12" s="48">
        <f>IFERROR('Historical FS'!C19,0)</f>
        <v>-4.2735042735042366E-3</v>
      </c>
      <c r="D12" s="48">
        <f>IFERROR('Historical FS'!D19,0)</f>
        <v>3.8437123782423095E-2</v>
      </c>
      <c r="E12" s="48">
        <f>IFERROR('Historical FS'!E19,0)</f>
        <v>5.3233066654014713E-2</v>
      </c>
      <c r="F12" s="48">
        <f>IFERROR('Historical FS'!F19,0)</f>
        <v>7.3674163006775317E-2</v>
      </c>
      <c r="G12" s="48">
        <f>IFERROR('Historical FS'!G19,0)</f>
        <v>9.6641420930167934E-2</v>
      </c>
      <c r="H12" s="48">
        <f>IFERROR('Historical FS'!H19,0)</f>
        <v>9.1489749984792215E-2</v>
      </c>
      <c r="I12" s="48">
        <f>IFERROR('Historical FS'!I19,0)</f>
        <v>0.15174212129731085</v>
      </c>
      <c r="J12" s="48">
        <f>IFERROR('Historical FS'!J19,0)</f>
        <v>4.391506232259644E-2</v>
      </c>
      <c r="K12" s="48">
        <f>IFERROR('Historical FS'!K19,0)</f>
        <v>0.13221817599743901</v>
      </c>
      <c r="L12" s="48">
        <f>IFERROR('Historical FS'!L19,0)</f>
        <v>0.13517924004066981</v>
      </c>
      <c r="N12" s="48">
        <f t="shared" ref="N12:N31" si="2">IFERROR(AVERAGE(C12:L12),0)</f>
        <v>8.1225661974268518E-2</v>
      </c>
      <c r="O12" s="48">
        <f t="shared" si="1"/>
        <v>8.2581956495783759E-2</v>
      </c>
    </row>
    <row r="13" spans="2:15" x14ac:dyDescent="0.3">
      <c r="B13" s="8" t="s">
        <v>124</v>
      </c>
      <c r="C13" s="48">
        <f>IFERROR(('Historical FS'!C18-'Historical FS'!C24)/'Historical FS'!C6,0)</f>
        <v>-2.7256984629100939E-2</v>
      </c>
      <c r="D13" s="48">
        <f>IFERROR(('Historical FS'!D18-'Historical FS'!D24)/'Historical FS'!D6,0)</f>
        <v>5.7349239356462526E-3</v>
      </c>
      <c r="E13" s="48">
        <f>IFERROR(('Historical FS'!E18-'Historical FS'!E24)/'Historical FS'!E6,0)</f>
        <v>3.0346880800868233E-2</v>
      </c>
      <c r="F13" s="48">
        <f>IFERROR(('Historical FS'!F18-'Historical FS'!F24)/'Historical FS'!F6,0)</f>
        <v>5.0892719207256444E-2</v>
      </c>
      <c r="G13" s="48">
        <f>IFERROR(('Historical FS'!G18-'Historical FS'!G24)/'Historical FS'!G6,0)</f>
        <v>7.5537901050309206E-2</v>
      </c>
      <c r="H13" s="48">
        <f>IFERROR(('Historical FS'!H18-'Historical FS'!H24)/'Historical FS'!H6,0)</f>
        <v>7.1845154814769704E-2</v>
      </c>
      <c r="I13" s="48">
        <f>IFERROR(('Historical FS'!I18-'Historical FS'!I24)/'Historical FS'!I6,0)</f>
        <v>8.081801960998046E-2</v>
      </c>
      <c r="J13" s="48">
        <f>IFERROR(('Historical FS'!J18-'Historical FS'!J24)/'Historical FS'!J6,0)</f>
        <v>-5.5315161051462558E-2</v>
      </c>
      <c r="K13" s="48">
        <f>IFERROR(('Historical FS'!K18-'Historical FS'!K24)/'Historical FS'!K6,0)</f>
        <v>6.311666021938557E-2</v>
      </c>
      <c r="L13" s="48">
        <f>IFERROR(('Historical FS'!L18-'Historical FS'!L24)/'Historical FS'!L6,0)</f>
        <v>7.5280089104370215E-2</v>
      </c>
      <c r="N13" s="48">
        <f t="shared" si="2"/>
        <v>3.7100020306202255E-2</v>
      </c>
      <c r="O13" s="48">
        <f t="shared" si="1"/>
        <v>5.7004689713321011E-2</v>
      </c>
    </row>
    <row r="14" spans="2:15" x14ac:dyDescent="0.3">
      <c r="B14" s="8" t="s">
        <v>125</v>
      </c>
      <c r="C14" s="48">
        <f>IFERROR('Historical FS'!C28,0)</f>
        <v>-3.8345806650721355E-2</v>
      </c>
      <c r="D14" s="48">
        <f>IFERROR('Historical FS'!D28,0)</f>
        <v>-3.8831126190215812E-3</v>
      </c>
      <c r="E14" s="48">
        <f>IFERROR('Historical FS'!E28,0)</f>
        <v>2.0401264403945023E-3</v>
      </c>
      <c r="F14" s="48">
        <f>IFERROR('Historical FS'!F28,0)</f>
        <v>2.5760852773057234E-2</v>
      </c>
      <c r="G14" s="48">
        <f>IFERROR('Historical FS'!G28,0)</f>
        <v>5.5245520195044223E-2</v>
      </c>
      <c r="H14" s="48">
        <f>IFERROR('Historical FS'!H28,0)</f>
        <v>5.2592158890443413E-2</v>
      </c>
      <c r="I14" s="48">
        <f>IFERROR('Historical FS'!I28,0)</f>
        <v>5.2668116282938151E-3</v>
      </c>
      <c r="J14" s="48">
        <f>IFERROR('Historical FS'!J28,0)</f>
        <v>-0.15589133654202161</v>
      </c>
      <c r="K14" s="48">
        <f>IFERROR('Historical FS'!K28,0)</f>
        <v>-9.1017825621049382E-3</v>
      </c>
      <c r="L14" s="48">
        <f>IFERROR('Historical FS'!L28,0)</f>
        <v>2.565754511636727E-2</v>
      </c>
      <c r="N14" s="48">
        <f t="shared" si="2"/>
        <v>-4.0659023330269026E-3</v>
      </c>
      <c r="O14" s="48">
        <f t="shared" si="1"/>
        <v>3.6534690343441589E-3</v>
      </c>
    </row>
    <row r="15" spans="2:15" x14ac:dyDescent="0.3">
      <c r="B15" s="52" t="s">
        <v>72</v>
      </c>
      <c r="C15" s="54">
        <f>IFERROR('Historical FS'!C34,0)</f>
        <v>-4.7012833371910562E-2</v>
      </c>
      <c r="D15" s="54">
        <f>IFERROR('Historical FS'!D34,0)</f>
        <v>-3.4558388967932598E-2</v>
      </c>
      <c r="E15" s="54">
        <f>IFERROR('Historical FS'!E34,0)</f>
        <v>-1.8544986567190735E-2</v>
      </c>
      <c r="F15" s="54">
        <f>IFERROR('Historical FS'!F34,0)</f>
        <v>2.0083423451258296E-3</v>
      </c>
      <c r="G15" s="54">
        <f>IFERROR('Historical FS'!G34,0)</f>
        <v>2.76111723971708E-2</v>
      </c>
      <c r="H15" s="54">
        <f>IFERROR('Historical FS'!H34,0)</f>
        <v>2.4606119593649202E-2</v>
      </c>
      <c r="I15" s="54">
        <f>IFERROR('Historical FS'!I34,0)</f>
        <v>-1.1660996333886117E-2</v>
      </c>
      <c r="J15" s="54">
        <f>IFERROR('Historical FS'!J34,0)</f>
        <v>-0.14675505985437506</v>
      </c>
      <c r="K15" s="54">
        <f>IFERROR('Historical FS'!K34,0)</f>
        <v>-2.6135944259918643E-2</v>
      </c>
      <c r="L15" s="54">
        <f>IFERROR('Historical FS'!L34,0)</f>
        <v>6.4341023195771656E-3</v>
      </c>
      <c r="M15" s="53"/>
      <c r="N15" s="54">
        <f t="shared" si="2"/>
        <v>-2.2400847269969069E-2</v>
      </c>
      <c r="O15" s="54">
        <f t="shared" si="1"/>
        <v>-1.5102991450538426E-2</v>
      </c>
    </row>
    <row r="17" spans="2:15" x14ac:dyDescent="0.3">
      <c r="B17" s="49" t="s">
        <v>127</v>
      </c>
      <c r="C17" s="51">
        <f>IFERROR('Historical FS'!C16,0)</f>
        <v>0.22722012190417407</v>
      </c>
      <c r="D17" s="51">
        <f>IFERROR('Historical FS'!D16,0)</f>
        <v>0.23135821385575134</v>
      </c>
      <c r="E17" s="51">
        <f>IFERROR('Historical FS'!E16,0)</f>
        <v>0.30232420218601919</v>
      </c>
      <c r="F17" s="51">
        <f>IFERROR('Historical FS'!F16,0)</f>
        <v>0.25912030191344265</v>
      </c>
      <c r="G17" s="51">
        <f>IFERROR('Historical FS'!G16,0)</f>
        <v>0.25071148480157218</v>
      </c>
      <c r="H17" s="51">
        <f>IFERROR('Historical FS'!H16,0)</f>
        <v>0.23115761299349111</v>
      </c>
      <c r="I17" s="51">
        <f>IFERROR('Historical FS'!I16,0)</f>
        <v>0.1578035444839041</v>
      </c>
      <c r="J17" s="51">
        <f>IFERROR('Historical FS'!J16,0)</f>
        <v>0.19293780081451312</v>
      </c>
      <c r="K17" s="51">
        <f>IFERROR('Historical FS'!K16,0)</f>
        <v>0.18226019448557362</v>
      </c>
      <c r="L17" s="51">
        <f>IFERROR('Historical FS'!L16,0)</f>
        <v>0.16898648632252772</v>
      </c>
      <c r="M17" s="50"/>
      <c r="N17" s="51">
        <f t="shared" si="2"/>
        <v>0.22038799637609693</v>
      </c>
      <c r="O17" s="51">
        <f t="shared" si="1"/>
        <v>0.2291888674488326</v>
      </c>
    </row>
    <row r="18" spans="2:15" x14ac:dyDescent="0.3">
      <c r="B18" s="8" t="s">
        <v>67</v>
      </c>
      <c r="C18" s="48">
        <f>IFERROR('Historical FS'!C25,0)</f>
        <v>2.2983480355596702E-2</v>
      </c>
      <c r="D18" s="48">
        <f>IFERROR('Historical FS'!D25,0)</f>
        <v>3.2702199846776844E-2</v>
      </c>
      <c r="E18" s="48">
        <f>IFERROR('Historical FS'!E25,0)</f>
        <v>2.288618585314648E-2</v>
      </c>
      <c r="F18" s="48">
        <f>IFERROR('Historical FS'!F25,0)</f>
        <v>2.278144379951888E-2</v>
      </c>
      <c r="G18" s="48">
        <f>IFERROR('Historical FS'!G25,0)</f>
        <v>2.1103519879858722E-2</v>
      </c>
      <c r="H18" s="48">
        <f>IFERROR('Historical FS'!H25,0)</f>
        <v>1.9644595170022511E-2</v>
      </c>
      <c r="I18" s="48">
        <f>IFERROR('Historical FS'!I25,0)</f>
        <v>7.092410168733039E-2</v>
      </c>
      <c r="J18" s="48">
        <f>IFERROR('Historical FS'!J25,0)</f>
        <v>9.9230223374058998E-2</v>
      </c>
      <c r="K18" s="48">
        <f>IFERROR('Historical FS'!K25,0)</f>
        <v>6.9101515778053443E-2</v>
      </c>
      <c r="L18" s="48">
        <f>IFERROR('Historical FS'!L25,0)</f>
        <v>5.9899150936299592E-2</v>
      </c>
      <c r="N18" s="48">
        <f t="shared" si="2"/>
        <v>4.4125641668066262E-2</v>
      </c>
      <c r="O18" s="48">
        <f t="shared" si="1"/>
        <v>2.7842840101186775E-2</v>
      </c>
    </row>
    <row r="19" spans="2:15" x14ac:dyDescent="0.3">
      <c r="B19" s="52" t="s">
        <v>128</v>
      </c>
      <c r="C19" s="55">
        <f>C13</f>
        <v>-2.7256984629100939E-2</v>
      </c>
      <c r="D19" s="55">
        <f t="shared" ref="D19:K19" si="3">D13</f>
        <v>5.7349239356462526E-3</v>
      </c>
      <c r="E19" s="55">
        <f t="shared" si="3"/>
        <v>3.0346880800868233E-2</v>
      </c>
      <c r="F19" s="55">
        <f t="shared" si="3"/>
        <v>5.0892719207256444E-2</v>
      </c>
      <c r="G19" s="55">
        <f t="shared" si="3"/>
        <v>7.5537901050309206E-2</v>
      </c>
      <c r="H19" s="55">
        <f t="shared" si="3"/>
        <v>7.1845154814769704E-2</v>
      </c>
      <c r="I19" s="55">
        <f t="shared" si="3"/>
        <v>8.081801960998046E-2</v>
      </c>
      <c r="J19" s="55">
        <f t="shared" si="3"/>
        <v>-5.5315161051462558E-2</v>
      </c>
      <c r="K19" s="55">
        <f t="shared" si="3"/>
        <v>6.311666021938557E-2</v>
      </c>
      <c r="L19" s="55">
        <f t="shared" ref="L19" si="4">L13</f>
        <v>7.5280089104370215E-2</v>
      </c>
      <c r="M19" s="53"/>
      <c r="N19" s="54">
        <f t="shared" si="2"/>
        <v>3.7100020306202255E-2</v>
      </c>
      <c r="O19" s="54">
        <f t="shared" si="1"/>
        <v>5.7004689713321011E-2</v>
      </c>
    </row>
    <row r="21" spans="2:15" x14ac:dyDescent="0.3">
      <c r="B21" s="49" t="s">
        <v>129</v>
      </c>
      <c r="C21" s="51">
        <f>IFERROR(('Historical FS'!C18-'Historical FS'!C24)/SUM('Historical FS'!C47:C49),0)</f>
        <v>-4.8088266432741389E-2</v>
      </c>
      <c r="D21" s="51">
        <f>IFERROR(('Historical FS'!D18-'Historical FS'!D24)/SUM('Historical FS'!D47:D49),0)</f>
        <v>7.7569412781780967E-3</v>
      </c>
      <c r="E21" s="51">
        <f>IFERROR(('Historical FS'!E18-'Historical FS'!E24)/SUM('Historical FS'!E47:E49),0)</f>
        <v>2.7448918833380711E-2</v>
      </c>
      <c r="F21" s="51">
        <f>IFERROR(('Historical FS'!F18-'Historical FS'!F24)/SUM('Historical FS'!F47:F49),0)</f>
        <v>4.7560365674450669E-2</v>
      </c>
      <c r="G21" s="51">
        <f>IFERROR(('Historical FS'!G18-'Historical FS'!G24)/SUM('Historical FS'!G47:G49),0)</f>
        <v>8.2026374068854491E-2</v>
      </c>
      <c r="H21" s="51">
        <f>IFERROR(('Historical FS'!H18-'Historical FS'!H24)/SUM('Historical FS'!H47:H49),0)</f>
        <v>8.8276925232989911E-2</v>
      </c>
      <c r="I21" s="51">
        <f>IFERROR(('Historical FS'!I18-'Historical FS'!I24)/SUM('Historical FS'!I47:I49),0)</f>
        <v>0.10482937737906078</v>
      </c>
      <c r="J21" s="51">
        <f>IFERROR(('Historical FS'!J18-'Historical FS'!J24)/SUM('Historical FS'!J47:J49),0)</f>
        <v>-5.48917702528934E-2</v>
      </c>
      <c r="K21" s="51">
        <f>IFERROR(('Historical FS'!K18-'Historical FS'!K24)/SUM('Historical FS'!K47:K49),0)</f>
        <v>4.0045927982215707E-2</v>
      </c>
      <c r="L21" s="51">
        <f>IFERROR(('Historical FS'!L18-'Historical FS'!L24)/SUM('Historical FS'!L47:L49),0)</f>
        <v>8.7888458743588735E-2</v>
      </c>
      <c r="M21" s="50"/>
      <c r="N21" s="51">
        <f t="shared" si="2"/>
        <v>3.8285325250708435E-2</v>
      </c>
      <c r="O21" s="51">
        <f t="shared" si="1"/>
        <v>4.3803146828333188E-2</v>
      </c>
    </row>
    <row r="22" spans="2:15" x14ac:dyDescent="0.3">
      <c r="B22" s="8" t="s">
        <v>130</v>
      </c>
      <c r="C22" s="48">
        <f>'Historical FS'!C44</f>
        <v>0</v>
      </c>
      <c r="D22" s="48">
        <f>'Historical FS'!D44</f>
        <v>0</v>
      </c>
      <c r="E22" s="48">
        <f>'Historical FS'!E44</f>
        <v>0</v>
      </c>
      <c r="F22" s="48">
        <f>'Historical FS'!F44</f>
        <v>0</v>
      </c>
      <c r="G22" s="48">
        <f>'Historical FS'!G44</f>
        <v>0.35856974987409895</v>
      </c>
      <c r="H22" s="48">
        <f>'Historical FS'!H44</f>
        <v>0.33250927070457226</v>
      </c>
      <c r="I22" s="48">
        <f>'Historical FS'!I44</f>
        <v>0</v>
      </c>
      <c r="J22" s="48">
        <f>'Historical FS'!J44</f>
        <v>0</v>
      </c>
      <c r="K22" s="48">
        <f>'Historical FS'!K44</f>
        <v>0</v>
      </c>
      <c r="L22" s="48">
        <f>'Historical FS'!L44</f>
        <v>0</v>
      </c>
      <c r="N22" s="48">
        <f t="shared" si="2"/>
        <v>6.9107902057867127E-2</v>
      </c>
      <c r="O22" s="48">
        <f t="shared" si="1"/>
        <v>0</v>
      </c>
    </row>
    <row r="23" spans="2:15" x14ac:dyDescent="0.3">
      <c r="B23" s="8" t="s">
        <v>131</v>
      </c>
      <c r="C23" s="48">
        <f>IFERROR('Historical FS'!C33/SUM('Historical FS'!C47:C48),0)</f>
        <v>-0.11069730826293629</v>
      </c>
      <c r="D23" s="48">
        <f>IFERROR('Historical FS'!D33/SUM('Historical FS'!D47:D48),0)</f>
        <v>-5.5514923063939937E-2</v>
      </c>
      <c r="E23" s="48">
        <f>IFERROR('Historical FS'!E33/SUM('Historical FS'!E47:E48),0)</f>
        <v>-2.1353601158161418E-2</v>
      </c>
      <c r="F23" s="48">
        <f>IFERROR('Historical FS'!F33/SUM('Historical FS'!F47:F48),0)</f>
        <v>2.3518921747894333E-3</v>
      </c>
      <c r="G23" s="48">
        <f>IFERROR('Historical FS'!G33/SUM('Historical FS'!G47:G48),0)</f>
        <v>3.7339300601114546E-2</v>
      </c>
      <c r="H23" s="48">
        <f>IFERROR('Historical FS'!H33/SUM('Historical FS'!H47:H48),0)</f>
        <v>3.9307383496000554E-2</v>
      </c>
      <c r="I23" s="48">
        <f>IFERROR('Historical FS'!I33/SUM('Historical FS'!I47:I48),0)</f>
        <v>-1.7024252754662437E-2</v>
      </c>
      <c r="J23" s="48">
        <f>IFERROR('Historical FS'!J33/SUM('Historical FS'!J47:J48),0)</f>
        <v>-0.16451580826880774</v>
      </c>
      <c r="K23" s="48">
        <f>IFERROR('Historical FS'!K33/SUM('Historical FS'!K47:K48),0)</f>
        <v>-4.9729272419627435E-2</v>
      </c>
      <c r="L23" s="48">
        <f>IFERROR('Historical FS'!L33/SUM('Historical FS'!L47:L48),0)</f>
        <v>2.0431594804835074E-2</v>
      </c>
      <c r="N23" s="48">
        <f t="shared" si="2"/>
        <v>-3.1940499485139565E-2</v>
      </c>
      <c r="O23" s="48">
        <f t="shared" si="1"/>
        <v>-1.9188926956411927E-2</v>
      </c>
    </row>
    <row r="24" spans="2:15" x14ac:dyDescent="0.3">
      <c r="B24" s="8" t="s">
        <v>133</v>
      </c>
      <c r="C24" s="48">
        <f>IFERROR(C22*C23,0)</f>
        <v>0</v>
      </c>
      <c r="D24" s="48">
        <f t="shared" ref="D24:K24" si="5">IFERROR(D22*D23,0)</f>
        <v>0</v>
      </c>
      <c r="E24" s="48">
        <f t="shared" si="5"/>
        <v>0</v>
      </c>
      <c r="F24" s="48">
        <f t="shared" si="5"/>
        <v>0</v>
      </c>
      <c r="G24" s="48">
        <f t="shared" si="5"/>
        <v>1.3388743677015435E-2</v>
      </c>
      <c r="H24" s="48">
        <f t="shared" si="5"/>
        <v>1.3070069419560085E-2</v>
      </c>
      <c r="I24" s="48">
        <f t="shared" si="5"/>
        <v>0</v>
      </c>
      <c r="J24" s="48">
        <f t="shared" si="5"/>
        <v>0</v>
      </c>
      <c r="K24" s="48">
        <f t="shared" si="5"/>
        <v>0</v>
      </c>
      <c r="L24" s="48">
        <f t="shared" ref="L24" si="6">IFERROR(L22*L23,0)</f>
        <v>0</v>
      </c>
      <c r="N24" s="48">
        <f t="shared" si="2"/>
        <v>2.6458813096575519E-3</v>
      </c>
      <c r="O24" s="48">
        <f t="shared" si="1"/>
        <v>0</v>
      </c>
    </row>
    <row r="25" spans="2:15" x14ac:dyDescent="0.3">
      <c r="B25" s="52" t="s">
        <v>132</v>
      </c>
      <c r="C25" s="56">
        <f>IFERROR(('Historical FS'!C18-'Historical FS'!C24)/'Historical FS'!C21,0)</f>
        <v>-2.4580595284112836</v>
      </c>
      <c r="D25" s="56">
        <f>IFERROR(('Historical FS'!D18-'Historical FS'!D24)/'Historical FS'!D21,0)</f>
        <v>0.59626763768775382</v>
      </c>
      <c r="E25" s="56">
        <f>IFERROR(('Historical FS'!E18-'Historical FS'!E24)/'Historical FS'!E21,0)</f>
        <v>1.0720720720720718</v>
      </c>
      <c r="F25" s="56">
        <f>IFERROR(('Historical FS'!F18-'Historical FS'!F24)/'Historical FS'!F21,0)</f>
        <v>2.0250274423710182</v>
      </c>
      <c r="G25" s="56">
        <f>IFERROR(('Historical FS'!G18-'Historical FS'!G24)/'Historical FS'!G21,0)</f>
        <v>3.7224760164458681</v>
      </c>
      <c r="H25" s="56">
        <f>IFERROR(('Historical FS'!H18-'Historical FS'!H24)/'Historical FS'!H21,0)</f>
        <v>3.7316350710900443</v>
      </c>
      <c r="I25" s="56">
        <f>IFERROR(('Historical FS'!I18-'Historical FS'!I24)/'Historical FS'!I21,0)</f>
        <v>1.0697118122793017</v>
      </c>
      <c r="J25" s="56">
        <f>IFERROR(('Historical FS'!J18-'Historical FS'!J24)/'Historical FS'!J21,0)</f>
        <v>-0.54998274473714615</v>
      </c>
      <c r="K25" s="56">
        <f>IFERROR(('Historical FS'!K18-'Historical FS'!K24)/'Historical FS'!K21,0)</f>
        <v>0.87396872306366435</v>
      </c>
      <c r="L25" s="56">
        <f>IFERROR(('Historical FS'!L18-'Historical FS'!L24)/'Historical FS'!L21,0)</f>
        <v>1.5170542067043238</v>
      </c>
      <c r="M25" s="53"/>
      <c r="N25" s="56">
        <f t="shared" si="2"/>
        <v>1.1600170708565614</v>
      </c>
      <c r="O25" s="56">
        <f t="shared" si="1"/>
        <v>1.0708919421756868</v>
      </c>
    </row>
    <row r="27" spans="2:15" x14ac:dyDescent="0.3">
      <c r="B27" s="49" t="s">
        <v>134</v>
      </c>
      <c r="C27" s="57">
        <f>IFERROR('Historical FS'!C6/'Historical FS'!C59,0)</f>
        <v>132.48040885860308</v>
      </c>
      <c r="D27" s="57">
        <f>IFERROR('Historical FS'!D6/'Historical FS'!D59,0)</f>
        <v>129.12662521198416</v>
      </c>
      <c r="E27" s="57">
        <f>IFERROR('Historical FS'!E6/'Historical FS'!E59,0)</f>
        <v>129.80523479599694</v>
      </c>
      <c r="F27" s="57">
        <f>IFERROR('Historical FS'!F6/'Historical FS'!F59,0)</f>
        <v>306.15540540540542</v>
      </c>
      <c r="G27" s="57">
        <f>IFERROR('Historical FS'!G6/'Historical FS'!G59,0)</f>
        <v>142.87814569536425</v>
      </c>
      <c r="H27" s="57">
        <f>IFERROR('Historical FS'!H6/'Historical FS'!H59,0)</f>
        <v>159.02297460701328</v>
      </c>
      <c r="I27" s="57">
        <f>IFERROR('Historical FS'!I6/'Historical FS'!I59,0)</f>
        <v>203.62032710280371</v>
      </c>
      <c r="J27" s="57">
        <f>IFERROR('Historical FS'!J6/'Historical FS'!J59,0)</f>
        <v>124.84159845931633</v>
      </c>
      <c r="K27" s="57">
        <f>IFERROR('Historical FS'!K6/'Historical FS'!K59,0)</f>
        <v>246.33187294633078</v>
      </c>
      <c r="L27" s="57">
        <f>IFERROR('Historical FS'!L6/'Historical FS'!L59,0)</f>
        <v>239.66327420761851</v>
      </c>
      <c r="M27" s="50"/>
      <c r="N27" s="57">
        <f t="shared" si="2"/>
        <v>181.39258672904367</v>
      </c>
      <c r="O27" s="57">
        <f t="shared" si="1"/>
        <v>150.95056015118877</v>
      </c>
    </row>
    <row r="28" spans="2:15" x14ac:dyDescent="0.3">
      <c r="B28" s="8" t="s">
        <v>135</v>
      </c>
      <c r="C28" s="46">
        <f>IFERROR('Historical FS'!C6/'Historical FS'!C50,0)</f>
        <v>3.8005701718660911</v>
      </c>
      <c r="D28" s="46">
        <f>IFERROR('Historical FS'!D6/'Historical FS'!D50,0)</f>
        <v>4.4120487512796247</v>
      </c>
      <c r="E28" s="46">
        <f>IFERROR('Historical FS'!E6/'Historical FS'!E50,0)</f>
        <v>5.7666552667578665</v>
      </c>
      <c r="F28" s="46">
        <f>IFERROR('Historical FS'!F6/'Historical FS'!F50,0)</f>
        <v>6.408457676260519</v>
      </c>
      <c r="G28" s="46">
        <f>IFERROR('Historical FS'!G6/'Historical FS'!G50,0)</f>
        <v>6.1807712141179172</v>
      </c>
      <c r="H28" s="46">
        <f>IFERROR('Historical FS'!H6/'Historical FS'!H50,0)</f>
        <v>6.2907847217239476</v>
      </c>
      <c r="I28" s="46">
        <f>IFERROR('Historical FS'!I6/'Historical FS'!I50,0)</f>
        <v>1.2365270629298695</v>
      </c>
      <c r="J28" s="46">
        <f>IFERROR('Historical FS'!J6/'Historical FS'!J50,0)</f>
        <v>0.8335428205878288</v>
      </c>
      <c r="K28" s="46">
        <f>IFERROR('Historical FS'!K6/'Historical FS'!K50,0)</f>
        <v>7.0650268589199898</v>
      </c>
      <c r="L28" s="46">
        <f>IFERROR('Historical FS'!L6/'Historical FS'!L50,0)</f>
        <v>8.0653880027399953</v>
      </c>
      <c r="N28" s="46">
        <f t="shared" si="2"/>
        <v>5.0059772547183652</v>
      </c>
      <c r="O28" s="46">
        <f t="shared" si="1"/>
        <v>5.9737132404378919</v>
      </c>
    </row>
    <row r="29" spans="2:15" x14ac:dyDescent="0.3">
      <c r="B29" s="8" t="s">
        <v>136</v>
      </c>
      <c r="C29" s="46">
        <f>IFERROR('Historical FS'!C6/'Historical FS'!C60,0)</f>
        <v>6.5448577680525171</v>
      </c>
      <c r="D29" s="46">
        <f>IFERROR('Historical FS'!D6/'Historical FS'!D60,0)</f>
        <v>6.9251174776413515</v>
      </c>
      <c r="E29" s="46">
        <f>IFERROR('Historical FS'!E6/'Historical FS'!E60,0)</f>
        <v>6.0395071456714069</v>
      </c>
      <c r="F29" s="46">
        <f>IFERROR('Historical FS'!F6/'Historical FS'!F60,0)</f>
        <v>5.935420487293686</v>
      </c>
      <c r="G29" s="46">
        <f>IFERROR('Historical FS'!G6/'Historical FS'!G60,0)</f>
        <v>6.2576790323984106</v>
      </c>
      <c r="H29" s="46">
        <f>IFERROR('Historical FS'!H6/'Historical FS'!H60,0)</f>
        <v>5.2921269189754732</v>
      </c>
      <c r="I29" s="46">
        <f>IFERROR('Historical FS'!I6/'Historical FS'!I60,0)</f>
        <v>5.7353120218489337</v>
      </c>
      <c r="J29" s="46">
        <f>IFERROR('Historical FS'!J6/'Historical FS'!J60,0)</f>
        <v>6.0528023529961024</v>
      </c>
      <c r="K29" s="46">
        <f>IFERROR('Historical FS'!K6/'Historical FS'!K60,0)</f>
        <v>5.1833644472101232</v>
      </c>
      <c r="L29" s="46">
        <f>IFERROR('Historical FS'!L6/'Historical FS'!L60,0)</f>
        <v>6.0551441417614384</v>
      </c>
      <c r="N29" s="46">
        <f t="shared" si="2"/>
        <v>6.0021331793849448</v>
      </c>
      <c r="O29" s="46">
        <f t="shared" si="1"/>
        <v>6.0461547493337546</v>
      </c>
    </row>
    <row r="30" spans="2:15" x14ac:dyDescent="0.3">
      <c r="B30" s="8" t="s">
        <v>137</v>
      </c>
      <c r="C30" s="46">
        <f>IFERROR('Historical FS'!C6/'Historical FS'!C53,0)</f>
        <v>3.239710048325279</v>
      </c>
      <c r="D30" s="46">
        <f>IFERROR('Historical FS'!D6/'Historical FS'!D53,0)</f>
        <v>3.417182778326302</v>
      </c>
      <c r="E30" s="46">
        <f>IFERROR('Historical FS'!E6/'Historical FS'!E53,0)</f>
        <v>3.5365045407831541</v>
      </c>
      <c r="F30" s="46">
        <f>IFERROR('Historical FS'!F6/'Historical FS'!F53,0)</f>
        <v>3.3030927083523172</v>
      </c>
      <c r="G30" s="46">
        <f>IFERROR('Historical FS'!G6/'Historical FS'!G53,0)</f>
        <v>3.5222111570045551</v>
      </c>
      <c r="H30" s="46">
        <f>IFERROR('Historical FS'!H6/'Historical FS'!H53,0)</f>
        <v>3.9720921803739166</v>
      </c>
      <c r="I30" s="46">
        <f>IFERROR('Historical FS'!I6/'Historical FS'!I53,0)</f>
        <v>1.2729848855000858</v>
      </c>
      <c r="J30" s="46">
        <f>IFERROR('Historical FS'!J6/'Historical FS'!J53,0)</f>
        <v>0.84908737253669175</v>
      </c>
      <c r="K30" s="46">
        <f>IFERROR('Historical FS'!K6/'Historical FS'!K53,0)</f>
        <v>0.95973934807146177</v>
      </c>
      <c r="L30" s="46">
        <f>IFERROR('Historical FS'!L6/'Historical FS'!L53,0)</f>
        <v>1.8206562917637705</v>
      </c>
      <c r="N30" s="46">
        <f t="shared" si="2"/>
        <v>2.5893261311037534</v>
      </c>
      <c r="O30" s="46">
        <f t="shared" si="1"/>
        <v>3.2714013783387981</v>
      </c>
    </row>
    <row r="31" spans="2:15" x14ac:dyDescent="0.3">
      <c r="B31" s="52" t="s">
        <v>138</v>
      </c>
      <c r="C31" s="56">
        <f>IFERROR('Historical FS'!C6/SUM('Historical FS'!C47:C48),0)</f>
        <v>2.3546189481333455</v>
      </c>
      <c r="D31" s="56">
        <f>IFERROR('Historical FS'!D6/SUM('Historical FS'!D47:D48),0)</f>
        <v>1.6064094629947396</v>
      </c>
      <c r="E31" s="56">
        <f>IFERROR('Historical FS'!E6/SUM('Historical FS'!E47:E48),0)</f>
        <v>1.1514487260907271</v>
      </c>
      <c r="F31" s="56">
        <f>IFERROR('Historical FS'!F6/SUM('Historical FS'!F47:F48),0)</f>
        <v>1.1710613882625074</v>
      </c>
      <c r="G31" s="56">
        <f>IFERROR('Historical FS'!G6/SUM('Historical FS'!G47:G48),0)</f>
        <v>1.3523257927628074</v>
      </c>
      <c r="H31" s="56">
        <f>IFERROR('Historical FS'!H6/SUM('Historical FS'!H47:H48),0)</f>
        <v>1.5974637263059439</v>
      </c>
      <c r="I31" s="56">
        <f>IFERROR('Historical FS'!I6/SUM('Historical FS'!I47:I48),0)</f>
        <v>1.4599312329076921</v>
      </c>
      <c r="J31" s="56">
        <f>IFERROR('Historical FS'!J6/SUM('Historical FS'!J47:J48),0)</f>
        <v>1.1210230736306921</v>
      </c>
      <c r="K31" s="56">
        <f>IFERROR('Historical FS'!K6/SUM('Historical FS'!K47:K48),0)</f>
        <v>1.9027157360406093</v>
      </c>
      <c r="L31" s="56">
        <f>IFERROR('Historical FS'!L6/SUM('Historical FS'!L47:L48),0)</f>
        <v>3.1755159912001201</v>
      </c>
      <c r="M31" s="53"/>
      <c r="N31" s="56">
        <f t="shared" si="2"/>
        <v>1.6892514078329186</v>
      </c>
      <c r="O31" s="56">
        <f t="shared" si="1"/>
        <v>1.528697479606818</v>
      </c>
    </row>
    <row r="32" spans="2:15" x14ac:dyDescent="0.3"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spans="2:15" x14ac:dyDescent="0.3">
      <c r="B33" s="47" t="s">
        <v>142</v>
      </c>
    </row>
    <row r="34" spans="2:15" x14ac:dyDescent="0.3">
      <c r="B34" s="49" t="s">
        <v>139</v>
      </c>
      <c r="C34" s="61">
        <f>IFERROR(365/C27,0)</f>
        <v>2.7551243474011775</v>
      </c>
      <c r="D34" s="61">
        <f t="shared" ref="D34:L34" si="7">IFERROR(365/D27,0)</f>
        <v>2.8266827186166141</v>
      </c>
      <c r="E34" s="61">
        <f t="shared" si="7"/>
        <v>2.8119050866757203</v>
      </c>
      <c r="F34" s="61">
        <f t="shared" si="7"/>
        <v>1.1922049833373793</v>
      </c>
      <c r="G34" s="61">
        <f t="shared" si="7"/>
        <v>2.554624419456212</v>
      </c>
      <c r="H34" s="61">
        <f t="shared" si="7"/>
        <v>2.2952658312549428</v>
      </c>
      <c r="I34" s="61">
        <f t="shared" si="7"/>
        <v>1.7925518792419923</v>
      </c>
      <c r="J34" s="61">
        <f t="shared" si="7"/>
        <v>2.923704954954955</v>
      </c>
      <c r="K34" s="61">
        <f t="shared" si="7"/>
        <v>1.4817408548650295</v>
      </c>
      <c r="L34" s="61">
        <f t="shared" si="7"/>
        <v>1.5229700971363815</v>
      </c>
      <c r="M34" s="50"/>
      <c r="N34" s="61">
        <f t="shared" ref="N34:N41" si="8">IFERROR(AVERAGE(C34:L34),0)</f>
        <v>2.2156775172940408</v>
      </c>
      <c r="O34" s="61">
        <f t="shared" ref="O34:O37" si="9">IFERROR(MEDIAN(C34:L34),0)</f>
        <v>2.4249451253555776</v>
      </c>
    </row>
    <row r="35" spans="2:15" x14ac:dyDescent="0.3">
      <c r="B35" s="8" t="s">
        <v>140</v>
      </c>
      <c r="C35" s="60">
        <f>IFERROR(365/C28,0)</f>
        <v>96.038221502113174</v>
      </c>
      <c r="D35" s="60">
        <f t="shared" ref="D35:L35" si="10">IFERROR(365/D28,0)</f>
        <v>82.728007004487253</v>
      </c>
      <c r="E35" s="60">
        <f t="shared" si="10"/>
        <v>63.294922813239467</v>
      </c>
      <c r="F35" s="60">
        <f t="shared" si="10"/>
        <v>56.955981991127985</v>
      </c>
      <c r="G35" s="60">
        <f t="shared" si="10"/>
        <v>59.054119195720887</v>
      </c>
      <c r="H35" s="60">
        <f t="shared" si="10"/>
        <v>58.02137827726748</v>
      </c>
      <c r="I35" s="60">
        <f t="shared" si="10"/>
        <v>295.18157017538829</v>
      </c>
      <c r="J35" s="60">
        <f t="shared" si="10"/>
        <v>437.88992117117112</v>
      </c>
      <c r="K35" s="60">
        <f t="shared" si="10"/>
        <v>51.662931689943569</v>
      </c>
      <c r="L35" s="60">
        <f t="shared" si="10"/>
        <v>45.255107364456762</v>
      </c>
      <c r="N35" s="60">
        <f t="shared" si="8"/>
        <v>124.60821611849163</v>
      </c>
      <c r="O35" s="60">
        <f t="shared" si="9"/>
        <v>61.174521004480177</v>
      </c>
    </row>
    <row r="36" spans="2:15" x14ac:dyDescent="0.3">
      <c r="B36" s="8" t="s">
        <v>141</v>
      </c>
      <c r="C36" s="60">
        <f>IFERROR(365/C29,0)</f>
        <v>55.768973587428945</v>
      </c>
      <c r="D36" s="60">
        <f t="shared" ref="D36:L36" si="11">IFERROR(365/D29,0)</f>
        <v>52.706687096421149</v>
      </c>
      <c r="E36" s="60">
        <f t="shared" si="11"/>
        <v>60.435395007620819</v>
      </c>
      <c r="F36" s="60">
        <f t="shared" si="11"/>
        <v>61.495221910794292</v>
      </c>
      <c r="G36" s="60">
        <f t="shared" si="11"/>
        <v>58.328335171915121</v>
      </c>
      <c r="H36" s="60">
        <f t="shared" si="11"/>
        <v>68.970379128900788</v>
      </c>
      <c r="I36" s="60">
        <f t="shared" si="11"/>
        <v>63.64082696974738</v>
      </c>
      <c r="J36" s="60">
        <f t="shared" si="11"/>
        <v>60.302646396396391</v>
      </c>
      <c r="K36" s="60">
        <f t="shared" si="11"/>
        <v>70.417583736844193</v>
      </c>
      <c r="L36" s="60">
        <f t="shared" si="11"/>
        <v>60.279324728646621</v>
      </c>
      <c r="N36" s="60">
        <f t="shared" si="8"/>
        <v>61.234537373471575</v>
      </c>
      <c r="O36" s="60">
        <f t="shared" si="9"/>
        <v>60.369020702008605</v>
      </c>
    </row>
    <row r="37" spans="2:15" x14ac:dyDescent="0.3">
      <c r="B37" s="52" t="s">
        <v>146</v>
      </c>
      <c r="C37" s="62">
        <f>IFERROR(SUM(C34,C36)-C35,0)</f>
        <v>-37.51412356728305</v>
      </c>
      <c r="D37" s="62">
        <f t="shared" ref="D37:L37" si="12">IFERROR(SUM(D34,D36)-D35,0)</f>
        <v>-27.194637189449487</v>
      </c>
      <c r="E37" s="62">
        <f t="shared" si="12"/>
        <v>-4.7622718942925246E-2</v>
      </c>
      <c r="F37" s="62">
        <f t="shared" si="12"/>
        <v>5.731444903003684</v>
      </c>
      <c r="G37" s="62">
        <f t="shared" si="12"/>
        <v>1.8288403956504453</v>
      </c>
      <c r="H37" s="62">
        <f t="shared" si="12"/>
        <v>13.244266682888245</v>
      </c>
      <c r="I37" s="62">
        <f t="shared" si="12"/>
        <v>-229.74819132639891</v>
      </c>
      <c r="J37" s="62">
        <f t="shared" si="12"/>
        <v>-374.66356981981977</v>
      </c>
      <c r="K37" s="62">
        <f t="shared" si="12"/>
        <v>20.236392901765647</v>
      </c>
      <c r="L37" s="62">
        <f t="shared" si="12"/>
        <v>16.547187461326239</v>
      </c>
      <c r="M37" s="53"/>
      <c r="N37" s="62">
        <f t="shared" si="8"/>
        <v>-61.15800122772599</v>
      </c>
      <c r="O37" s="62">
        <f t="shared" si="9"/>
        <v>0.89060883835376004</v>
      </c>
    </row>
    <row r="39" spans="2:15" x14ac:dyDescent="0.3">
      <c r="B39" s="49" t="s">
        <v>143</v>
      </c>
      <c r="C39" s="51">
        <f>IFERROR('Historical FS'!C110/'Historical FS'!C6,0)</f>
        <v>-1.9558676028084254E-2</v>
      </c>
      <c r="D39" s="51">
        <f>IFERROR('Historical FS'!D110/'Historical FS'!D6,0)</f>
        <v>-4.4215825763379664E-3</v>
      </c>
      <c r="E39" s="51">
        <f>IFERROR('Historical FS'!E110/'Historical FS'!E6,0)</f>
        <v>6.4892626484873997E-2</v>
      </c>
      <c r="F39" s="51">
        <f>IFERROR('Historical FS'!F110/'Historical FS'!F6,0)</f>
        <v>5.6520491712829114E-2</v>
      </c>
      <c r="G39" s="51">
        <f>IFERROR('Historical FS'!G110/'Historical FS'!G6,0)</f>
        <v>3.5625225960156853E-2</v>
      </c>
      <c r="H39" s="51">
        <f>IFERROR('Historical FS'!H110/'Historical FS'!H6,0)</f>
        <v>7.9764584220451372E-3</v>
      </c>
      <c r="I39" s="51">
        <f>IFERROR('Historical FS'!I110/'Historical FS'!I6,0)</f>
        <v>0.10360357776005601</v>
      </c>
      <c r="J39" s="51">
        <f>IFERROR('Historical FS'!J110/'Historical FS'!J6,0)</f>
        <v>0.10992456497593482</v>
      </c>
      <c r="K39" s="51">
        <f>IFERROR('Historical FS'!K110/'Historical FS'!K6,0)</f>
        <v>1.2912348099830591E-2</v>
      </c>
      <c r="L39" s="51">
        <f>IFERROR('Historical FS'!L110/'Historical FS'!L6,0)</f>
        <v>7.2176481008296503E-2</v>
      </c>
      <c r="M39" s="50"/>
      <c r="N39" s="51">
        <f t="shared" si="8"/>
        <v>4.3965151581960085E-2</v>
      </c>
      <c r="O39" s="51">
        <f t="shared" ref="O39:O41" si="13">IFERROR(MEDIAN(C39:L39),0)</f>
        <v>4.607285883649298E-2</v>
      </c>
    </row>
    <row r="40" spans="2:15" x14ac:dyDescent="0.3">
      <c r="B40" s="8" t="s">
        <v>144</v>
      </c>
      <c r="C40" s="48">
        <f>IFERROR('Historical FS'!C110/'Historical FS'!C64,0)</f>
        <v>-2.3566658575257849E-2</v>
      </c>
      <c r="D40" s="48">
        <f>IFERROR('Historical FS'!D110/'Historical FS'!D64,0)</f>
        <v>-4.5773020203576636E-3</v>
      </c>
      <c r="E40" s="48">
        <f>IFERROR('Historical FS'!E110/'Historical FS'!E64,0)</f>
        <v>5.0737506897463119E-2</v>
      </c>
      <c r="F40" s="48">
        <f>IFERROR('Historical FS'!F110/'Historical FS'!F64,0)</f>
        <v>4.6097423782202725E-2</v>
      </c>
      <c r="G40" s="48">
        <f>IFERROR('Historical FS'!G110/'Historical FS'!G64,0)</f>
        <v>3.2904369268706171E-2</v>
      </c>
      <c r="H40" s="48">
        <f>IFERROR('Historical FS'!H110/'Historical FS'!H64,0)</f>
        <v>8.1992840282011595E-3</v>
      </c>
      <c r="I40" s="48">
        <f>IFERROR('Historical FS'!I110/'Historical FS'!I64,0)</f>
        <v>6.5585797613080837E-2</v>
      </c>
      <c r="J40" s="48">
        <f>IFERROR('Historical FS'!J110/'Historical FS'!J64,0)</f>
        <v>4.9797946444014647E-2</v>
      </c>
      <c r="K40" s="48">
        <f>IFERROR('Historical FS'!K110/'Historical FS'!K64,0)</f>
        <v>7.5174540060729839E-3</v>
      </c>
      <c r="L40" s="48">
        <f>IFERROR('Historical FS'!L110/'Historical FS'!L64,0)</f>
        <v>7.3609823882358913E-2</v>
      </c>
      <c r="N40" s="48">
        <f t="shared" si="8"/>
        <v>3.0630564532648501E-2</v>
      </c>
      <c r="O40" s="48">
        <f t="shared" si="13"/>
        <v>3.9500896525454451E-2</v>
      </c>
    </row>
    <row r="41" spans="2:15" x14ac:dyDescent="0.3">
      <c r="B41" s="52" t="s">
        <v>145</v>
      </c>
      <c r="C41" s="54">
        <f>IFERROR('Historical FS'!C110/'Historical FS'!C49,0)</f>
        <v>-0.13762630070879203</v>
      </c>
      <c r="D41" s="54">
        <f>IFERROR('Historical FS'!D110/'Historical FS'!D49,0)</f>
        <v>-3.7848978827056394E-2</v>
      </c>
      <c r="E41" s="54">
        <f>IFERROR('Historical FS'!E110/'Historical FS'!E49,0)</f>
        <v>0.27368684342171085</v>
      </c>
      <c r="F41" s="54">
        <f>IFERROR('Historical FS'!F110/'Historical FS'!F49,0)</f>
        <v>0.26149997447286466</v>
      </c>
      <c r="G41" s="54">
        <f>IFERROR('Historical FS'!G110/'Historical FS'!G49,0)</f>
        <v>0.19635694760238101</v>
      </c>
      <c r="H41" s="54">
        <f>IFERROR('Historical FS'!H110/'Historical FS'!H49,0)</f>
        <v>4.2457603108430809E-2</v>
      </c>
      <c r="I41" s="54">
        <f>IFERROR('Historical FS'!I110/'Historical FS'!I49,0)</f>
        <v>1.2049109227997599</v>
      </c>
      <c r="J41" s="54">
        <f>IFERROR('Historical FS'!J110/'Historical FS'!J49,0)</f>
        <v>0.95032174173973916</v>
      </c>
      <c r="K41" s="54">
        <f>IFERROR('Historical FS'!K110/'Historical FS'!K49,0)</f>
        <v>1.2291127025242522E-2</v>
      </c>
      <c r="L41" s="54">
        <f>IFERROR('Historical FS'!L110/'Historical FS'!L49,0)</f>
        <v>0.13325746952380524</v>
      </c>
      <c r="M41" s="53"/>
      <c r="N41" s="54">
        <f t="shared" si="8"/>
        <v>0.28993073501580857</v>
      </c>
      <c r="O41" s="54">
        <f t="shared" si="13"/>
        <v>0.16480720856309311</v>
      </c>
    </row>
  </sheetData>
  <mergeCells count="1">
    <mergeCell ref="B2:O2"/>
  </mergeCells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FBE68D59-851C-4329-885F-1B380244643D}">
          <x14:colorSeries rgb="FF376092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  <x14:sparklineGroup displayEmptyCellsAs="gap" markers="1" xr2:uid="{D2B7EFEC-7A17-42C4-8E0A-064E71B28D53}">
          <x14:colorSeries rgb="FF376092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  <x14:sparkline>
              <xm:f>'Ratio Analysis'!C41:L41</xm:f>
              <xm:sqref>M41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935E-1B75-443C-A002-D154F8373BFB}">
  <dimension ref="B4:AG24"/>
  <sheetViews>
    <sheetView showGridLines="0" workbookViewId="0">
      <selection activeCell="Q6" sqref="Q6:R15"/>
    </sheetView>
  </sheetViews>
  <sheetFormatPr defaultRowHeight="14.4" x14ac:dyDescent="0.3"/>
  <cols>
    <col min="1" max="1" width="1.88671875" customWidth="1"/>
    <col min="2" max="2" width="10" customWidth="1"/>
    <col min="3" max="3" width="10.77734375" customWidth="1"/>
    <col min="4" max="4" width="12.6640625" customWidth="1"/>
    <col min="5" max="5" width="11.6640625" bestFit="1" customWidth="1"/>
    <col min="6" max="6" width="1.88671875" customWidth="1"/>
    <col min="7" max="7" width="9.88671875" customWidth="1"/>
    <col min="8" max="8" width="8.6640625" customWidth="1"/>
    <col min="9" max="9" width="12.77734375" customWidth="1"/>
    <col min="10" max="10" width="13.6640625" bestFit="1" customWidth="1"/>
    <col min="11" max="11" width="1.88671875" customWidth="1"/>
    <col min="12" max="12" width="7.5546875" customWidth="1"/>
    <col min="13" max="13" width="10.5546875" customWidth="1"/>
    <col min="14" max="14" width="10.77734375" customWidth="1"/>
    <col min="15" max="15" width="13.6640625" bestFit="1" customWidth="1"/>
    <col min="24" max="24" width="2" customWidth="1"/>
    <col min="27" max="27" width="9.6640625" bestFit="1" customWidth="1"/>
    <col min="28" max="28" width="12" customWidth="1"/>
    <col min="29" max="29" width="11.6640625" bestFit="1" customWidth="1"/>
    <col min="33" max="33" width="10.33203125" customWidth="1"/>
    <col min="34" max="34" width="9.44140625" customWidth="1"/>
    <col min="35" max="35" width="11.77734375" customWidth="1"/>
  </cols>
  <sheetData>
    <row r="4" spans="2:18" x14ac:dyDescent="0.3">
      <c r="B4" s="75" t="str">
        <f>'Data Sheet'!B1&amp;" - "&amp;'Data Sheet'!A17 &amp; " Forecasting"</f>
        <v>TRENT LTD - Sales Forecasting</v>
      </c>
      <c r="C4" s="75"/>
      <c r="D4" s="75"/>
      <c r="E4" s="75"/>
      <c r="G4" s="75" t="str">
        <f>'Data Sheet'!B1&amp; " - "&amp;'Historical FS'!B18 &amp; " Forecasting"</f>
        <v>TRENT LTD - EBITDA Forecasting</v>
      </c>
      <c r="H4" s="75"/>
      <c r="I4" s="75"/>
      <c r="J4" s="75"/>
      <c r="L4" s="75" t="str">
        <f>'Data Sheet'!B1&amp; " - "&amp;'Historical FS'!B38 &amp; " Forecasting"</f>
        <v>TRENT LTD - Earnings Per Share Forecasting</v>
      </c>
      <c r="M4" s="75"/>
      <c r="N4" s="75"/>
      <c r="O4" s="75"/>
    </row>
    <row r="5" spans="2:18" x14ac:dyDescent="0.3">
      <c r="B5" s="64" t="s">
        <v>151</v>
      </c>
      <c r="C5" s="64" t="s">
        <v>152</v>
      </c>
      <c r="D5" s="64" t="s">
        <v>0</v>
      </c>
      <c r="E5" s="64" t="s">
        <v>9</v>
      </c>
      <c r="G5" s="64" t="s">
        <v>151</v>
      </c>
      <c r="H5" s="64" t="s">
        <v>152</v>
      </c>
      <c r="I5" s="64" t="s">
        <v>64</v>
      </c>
      <c r="J5" s="64" t="s">
        <v>120</v>
      </c>
      <c r="L5" s="64" t="s">
        <v>151</v>
      </c>
      <c r="M5" s="64" t="s">
        <v>152</v>
      </c>
      <c r="N5" s="64" t="s">
        <v>153</v>
      </c>
      <c r="O5" s="64" t="s">
        <v>154</v>
      </c>
    </row>
    <row r="6" spans="2:18" x14ac:dyDescent="0.3">
      <c r="B6" s="8">
        <v>1</v>
      </c>
      <c r="C6" s="65">
        <f>'Data Sheet'!$B$16</f>
        <v>41729</v>
      </c>
      <c r="D6" s="68">
        <f t="array" ref="D6:D15">TRANSPOSE('Data Sheet'!B17:K17)</f>
        <v>2332.98</v>
      </c>
      <c r="E6" s="13" t="s">
        <v>73</v>
      </c>
      <c r="G6" s="8">
        <v>1</v>
      </c>
      <c r="H6" s="65">
        <f>'Data Sheet'!$B$16</f>
        <v>41729</v>
      </c>
      <c r="I6" s="68">
        <f t="array" ref="I6:I15">TRANSPOSE('Historical FS'!C18:L18)</f>
        <v>-9.9699999999999136</v>
      </c>
      <c r="J6" s="13" t="s">
        <v>73</v>
      </c>
      <c r="L6" s="8">
        <v>1</v>
      </c>
      <c r="M6" s="65">
        <f>'Data Sheet'!$B$16</f>
        <v>41729</v>
      </c>
      <c r="N6" s="68">
        <f t="array" ref="N6:N15">TRANSPOSE('Historical FS'!C38:L38)</f>
        <v>-3.3006319590731241</v>
      </c>
      <c r="O6" s="13" t="s">
        <v>73</v>
      </c>
      <c r="Q6" s="68"/>
      <c r="R6" s="13"/>
    </row>
    <row r="7" spans="2:18" x14ac:dyDescent="0.3">
      <c r="B7" s="8">
        <f t="shared" ref="B7:B20" si="0">B6+1</f>
        <v>2</v>
      </c>
      <c r="C7" s="65">
        <f t="shared" ref="C7:C20" si="1">C6+365</f>
        <v>42094</v>
      </c>
      <c r="D7" s="68">
        <v>2284.25</v>
      </c>
      <c r="E7" s="67">
        <f>D7/D6-1</f>
        <v>-2.0887448670798725E-2</v>
      </c>
      <c r="G7" s="8">
        <f t="shared" ref="G7:G20" si="2">G6+1</f>
        <v>2</v>
      </c>
      <c r="H7" s="65">
        <f t="shared" ref="H7:H20" si="3">H6+365</f>
        <v>42094</v>
      </c>
      <c r="I7" s="68">
        <v>87.799999999999955</v>
      </c>
      <c r="J7" s="67">
        <f>I7/I6-1</f>
        <v>-9.806419257773392</v>
      </c>
      <c r="L7" s="8">
        <f t="shared" ref="L7:L20" si="4">L6+1</f>
        <v>2</v>
      </c>
      <c r="M7" s="65">
        <f t="shared" ref="M7:M20" si="5">M6+365</f>
        <v>42094</v>
      </c>
      <c r="N7" s="68">
        <v>-2.3755642491724358</v>
      </c>
      <c r="O7" s="67">
        <f>N7/N6-1</f>
        <v>-0.28026987600291664</v>
      </c>
      <c r="Q7" s="68"/>
      <c r="R7" s="67"/>
    </row>
    <row r="8" spans="2:18" x14ac:dyDescent="0.3">
      <c r="B8" s="8">
        <f t="shared" si="0"/>
        <v>3</v>
      </c>
      <c r="C8" s="65">
        <f t="shared" si="1"/>
        <v>42459</v>
      </c>
      <c r="D8" s="68">
        <v>1686.17</v>
      </c>
      <c r="E8" s="67">
        <f t="shared" ref="E8:E20" si="6">D8/D7-1</f>
        <v>-0.26182773339170407</v>
      </c>
      <c r="G8" s="8">
        <f t="shared" si="2"/>
        <v>3</v>
      </c>
      <c r="H8" s="65">
        <f t="shared" si="3"/>
        <v>42459</v>
      </c>
      <c r="I8" s="68">
        <v>89.759999999999991</v>
      </c>
      <c r="J8" s="67">
        <f t="shared" ref="J8:J20" si="7">I8/I7-1</f>
        <v>2.2323462414578943E-2</v>
      </c>
      <c r="L8" s="8">
        <f t="shared" si="4"/>
        <v>3</v>
      </c>
      <c r="M8" s="65">
        <f t="shared" si="5"/>
        <v>42459</v>
      </c>
      <c r="N8" s="68">
        <v>-0.94101715317484225</v>
      </c>
      <c r="O8" s="67">
        <f t="shared" ref="O8:O20" si="8">N8/N7-1</f>
        <v>-0.60387636179376747</v>
      </c>
      <c r="Q8" s="68"/>
      <c r="R8" s="67"/>
    </row>
    <row r="9" spans="2:18" x14ac:dyDescent="0.3">
      <c r="B9" s="8">
        <f t="shared" si="0"/>
        <v>4</v>
      </c>
      <c r="C9" s="65">
        <f t="shared" si="1"/>
        <v>42824</v>
      </c>
      <c r="D9" s="68">
        <v>1812.44</v>
      </c>
      <c r="E9" s="67">
        <f t="shared" si="6"/>
        <v>7.4885687682736624E-2</v>
      </c>
      <c r="G9" s="8">
        <f t="shared" si="2"/>
        <v>4</v>
      </c>
      <c r="H9" s="65">
        <f t="shared" si="3"/>
        <v>42824</v>
      </c>
      <c r="I9" s="68">
        <v>133.52999999999986</v>
      </c>
      <c r="J9" s="67">
        <f t="shared" si="7"/>
        <v>0.48763368983957078</v>
      </c>
      <c r="L9" s="8">
        <f t="shared" si="4"/>
        <v>4</v>
      </c>
      <c r="M9" s="65">
        <f t="shared" si="5"/>
        <v>42824</v>
      </c>
      <c r="N9" s="68">
        <v>0.10953957267528916</v>
      </c>
      <c r="O9" s="67">
        <f t="shared" si="8"/>
        <v>-1.1164055004796885</v>
      </c>
      <c r="Q9" s="68"/>
      <c r="R9" s="67"/>
    </row>
    <row r="10" spans="2:18" x14ac:dyDescent="0.3">
      <c r="B10" s="8">
        <f t="shared" si="0"/>
        <v>5</v>
      </c>
      <c r="C10" s="65">
        <f t="shared" si="1"/>
        <v>43189</v>
      </c>
      <c r="D10" s="68">
        <v>2157.46</v>
      </c>
      <c r="E10" s="67">
        <f t="shared" si="6"/>
        <v>0.19036216371300574</v>
      </c>
      <c r="G10" s="8">
        <f t="shared" si="2"/>
        <v>5</v>
      </c>
      <c r="H10" s="65">
        <f t="shared" si="3"/>
        <v>43189</v>
      </c>
      <c r="I10" s="68">
        <v>208.50000000000011</v>
      </c>
      <c r="J10" s="67">
        <f t="shared" si="7"/>
        <v>0.56144686587283998</v>
      </c>
      <c r="L10" s="8">
        <f t="shared" si="4"/>
        <v>5</v>
      </c>
      <c r="M10" s="65">
        <f t="shared" si="5"/>
        <v>43189</v>
      </c>
      <c r="N10" s="68">
        <v>1.7926572374360554</v>
      </c>
      <c r="O10" s="67">
        <f t="shared" si="8"/>
        <v>15.365384615385285</v>
      </c>
      <c r="Q10" s="68"/>
      <c r="R10" s="67"/>
    </row>
    <row r="11" spans="2:18" x14ac:dyDescent="0.3">
      <c r="B11" s="8">
        <f t="shared" si="0"/>
        <v>6</v>
      </c>
      <c r="C11" s="65">
        <f t="shared" si="1"/>
        <v>43554</v>
      </c>
      <c r="D11" s="68">
        <v>2630.24</v>
      </c>
      <c r="E11" s="67">
        <f t="shared" si="6"/>
        <v>0.21913731888424337</v>
      </c>
      <c r="G11" s="8">
        <f t="shared" si="2"/>
        <v>6</v>
      </c>
      <c r="H11" s="65">
        <f t="shared" si="3"/>
        <v>43554</v>
      </c>
      <c r="I11" s="68">
        <v>240.63999999999987</v>
      </c>
      <c r="J11" s="67">
        <f t="shared" si="7"/>
        <v>0.15414868105515467</v>
      </c>
      <c r="L11" s="8">
        <f t="shared" si="4"/>
        <v>6</v>
      </c>
      <c r="M11" s="65">
        <f t="shared" si="5"/>
        <v>43554</v>
      </c>
      <c r="N11" s="68">
        <v>1.9476376767980703</v>
      </c>
      <c r="O11" s="67">
        <f t="shared" si="8"/>
        <v>8.6452912539864757E-2</v>
      </c>
      <c r="Q11" s="68"/>
      <c r="R11" s="67"/>
    </row>
    <row r="12" spans="2:18" x14ac:dyDescent="0.3">
      <c r="B12" s="8">
        <f t="shared" si="0"/>
        <v>7</v>
      </c>
      <c r="C12" s="65">
        <f t="shared" si="1"/>
        <v>43919</v>
      </c>
      <c r="D12" s="68">
        <v>3485.98</v>
      </c>
      <c r="E12" s="67">
        <f t="shared" si="6"/>
        <v>0.32534673641949041</v>
      </c>
      <c r="G12" s="8">
        <f t="shared" si="2"/>
        <v>7</v>
      </c>
      <c r="H12" s="65">
        <f t="shared" si="3"/>
        <v>43919</v>
      </c>
      <c r="I12" s="68">
        <v>528.96999999999969</v>
      </c>
      <c r="J12" s="67">
        <f t="shared" si="7"/>
        <v>1.1981798537234041</v>
      </c>
      <c r="L12" s="8">
        <f t="shared" si="4"/>
        <v>7</v>
      </c>
      <c r="M12" s="65">
        <f t="shared" si="5"/>
        <v>43919</v>
      </c>
      <c r="N12" s="68">
        <v>-1.1434599156118237</v>
      </c>
      <c r="O12" s="67">
        <f t="shared" si="8"/>
        <v>-1.5871009424564426</v>
      </c>
      <c r="Q12" s="68"/>
      <c r="R12" s="67"/>
    </row>
    <row r="13" spans="2:18" x14ac:dyDescent="0.3">
      <c r="B13" s="8">
        <f t="shared" si="0"/>
        <v>8</v>
      </c>
      <c r="C13" s="65">
        <f t="shared" si="1"/>
        <v>44284</v>
      </c>
      <c r="D13" s="68">
        <v>2592.96</v>
      </c>
      <c r="E13" s="67">
        <f t="shared" si="6"/>
        <v>-0.25617473422107984</v>
      </c>
      <c r="G13" s="8">
        <f t="shared" si="2"/>
        <v>8</v>
      </c>
      <c r="H13" s="65">
        <f t="shared" si="3"/>
        <v>44284</v>
      </c>
      <c r="I13" s="68">
        <v>113.86999999999966</v>
      </c>
      <c r="J13" s="67">
        <f t="shared" si="7"/>
        <v>-0.78473259353082458</v>
      </c>
      <c r="L13" s="8">
        <f t="shared" si="4"/>
        <v>8</v>
      </c>
      <c r="M13" s="65">
        <f t="shared" si="5"/>
        <v>44284</v>
      </c>
      <c r="N13" s="68">
        <v>-10.704078762306622</v>
      </c>
      <c r="O13" s="67">
        <f t="shared" si="8"/>
        <v>8.361131611316047</v>
      </c>
      <c r="Q13" s="68"/>
      <c r="R13" s="67"/>
    </row>
    <row r="14" spans="2:18" x14ac:dyDescent="0.3">
      <c r="B14" s="8">
        <f t="shared" si="0"/>
        <v>9</v>
      </c>
      <c r="C14" s="65">
        <f t="shared" si="1"/>
        <v>44649</v>
      </c>
      <c r="D14" s="68">
        <v>4498.0200000000004</v>
      </c>
      <c r="E14" s="67">
        <f t="shared" si="6"/>
        <v>0.73470473898556099</v>
      </c>
      <c r="G14" s="8">
        <f t="shared" si="2"/>
        <v>9</v>
      </c>
      <c r="H14" s="65">
        <f t="shared" si="3"/>
        <v>44649</v>
      </c>
      <c r="I14" s="68">
        <v>594.72000000000071</v>
      </c>
      <c r="J14" s="67">
        <f t="shared" si="7"/>
        <v>4.222797927461162</v>
      </c>
      <c r="L14" s="8">
        <f t="shared" si="4"/>
        <v>9</v>
      </c>
      <c r="M14" s="65">
        <f t="shared" si="5"/>
        <v>44649</v>
      </c>
      <c r="N14" s="68">
        <v>-3.3068917018283903</v>
      </c>
      <c r="O14" s="67">
        <f t="shared" si="8"/>
        <v>-0.69106246550863493</v>
      </c>
      <c r="Q14" s="68"/>
      <c r="R14" s="67"/>
    </row>
    <row r="15" spans="2:18" x14ac:dyDescent="0.3">
      <c r="B15" s="8">
        <f t="shared" si="0"/>
        <v>10</v>
      </c>
      <c r="C15" s="65">
        <f t="shared" si="1"/>
        <v>45014</v>
      </c>
      <c r="D15" s="68">
        <v>8242.02</v>
      </c>
      <c r="E15" s="67">
        <f t="shared" si="6"/>
        <v>0.83236624114610414</v>
      </c>
      <c r="G15" s="8">
        <f t="shared" si="2"/>
        <v>10</v>
      </c>
      <c r="H15" s="65">
        <f t="shared" si="3"/>
        <v>45014</v>
      </c>
      <c r="I15" s="68">
        <v>1114.1500000000015</v>
      </c>
      <c r="J15" s="67">
        <f t="shared" si="7"/>
        <v>0.87340260963142335</v>
      </c>
      <c r="L15" s="8">
        <f t="shared" si="4"/>
        <v>10</v>
      </c>
      <c r="M15" s="65">
        <f t="shared" si="5"/>
        <v>45014</v>
      </c>
      <c r="N15" s="68">
        <v>1.4917018284107284</v>
      </c>
      <c r="O15" s="67">
        <f t="shared" si="8"/>
        <v>-1.4510888057162448</v>
      </c>
      <c r="Q15" s="68"/>
      <c r="R15" s="67"/>
    </row>
    <row r="16" spans="2:18" x14ac:dyDescent="0.3">
      <c r="B16" s="69">
        <f t="shared" si="0"/>
        <v>11</v>
      </c>
      <c r="C16" s="70">
        <f t="shared" si="1"/>
        <v>45379</v>
      </c>
      <c r="D16" s="71">
        <f>FORECAST(B16,$D$6:$D$15,$B$6:$B$15)</f>
        <v>5795.7553333333335</v>
      </c>
      <c r="E16" s="72">
        <f t="shared" si="6"/>
        <v>-0.29680401972655568</v>
      </c>
      <c r="G16" s="69">
        <f t="shared" si="2"/>
        <v>11</v>
      </c>
      <c r="H16" s="70">
        <f t="shared" si="3"/>
        <v>45379</v>
      </c>
      <c r="I16" s="71">
        <f>FORECAST(G16,$I$6:$I$15,$G$6:$G$15)</f>
        <v>810.34800000000064</v>
      </c>
      <c r="J16" s="72">
        <f t="shared" si="7"/>
        <v>-0.27267603105506477</v>
      </c>
      <c r="L16" s="69">
        <f t="shared" si="4"/>
        <v>11</v>
      </c>
      <c r="M16" s="70">
        <f t="shared" si="5"/>
        <v>45379</v>
      </c>
      <c r="N16" s="71">
        <f>FORECAST(L16,$N$6:$N$15,$L$6:$L$15)</f>
        <v>-2.1699312143312173</v>
      </c>
      <c r="O16" s="72">
        <f t="shared" si="8"/>
        <v>-2.4546682004426312</v>
      </c>
    </row>
    <row r="17" spans="2:33" x14ac:dyDescent="0.3">
      <c r="B17" s="69">
        <f t="shared" si="0"/>
        <v>12</v>
      </c>
      <c r="C17" s="70">
        <f t="shared" si="1"/>
        <v>45744</v>
      </c>
      <c r="D17" s="71">
        <f>FORECAST(B17,$D$6:$D$15,$B$6:$B$15)</f>
        <v>6272.75593939394</v>
      </c>
      <c r="E17" s="72">
        <f t="shared" si="6"/>
        <v>8.2301715415282528E-2</v>
      </c>
      <c r="G17" s="69">
        <f t="shared" si="2"/>
        <v>12</v>
      </c>
      <c r="H17" s="70">
        <f t="shared" si="3"/>
        <v>45744</v>
      </c>
      <c r="I17" s="71">
        <f t="shared" ref="I17:I20" si="9">FORECAST(G17,$I$6:$I$15,$G$6:$G$15)</f>
        <v>901.28454545454611</v>
      </c>
      <c r="J17" s="72">
        <f t="shared" si="7"/>
        <v>0.11221912740519557</v>
      </c>
      <c r="L17" s="69">
        <f t="shared" si="4"/>
        <v>12</v>
      </c>
      <c r="M17" s="70">
        <f t="shared" si="5"/>
        <v>45744</v>
      </c>
      <c r="N17" s="71">
        <f t="shared" ref="N17:N20" si="10">FORECAST(L17,$N$6:$N$15,$L$6:$L$15)</f>
        <v>-2.2657349364669459</v>
      </c>
      <c r="O17" s="72">
        <f t="shared" si="8"/>
        <v>4.4150580213325297E-2</v>
      </c>
    </row>
    <row r="18" spans="2:33" x14ac:dyDescent="0.3">
      <c r="B18" s="69">
        <f t="shared" si="0"/>
        <v>13</v>
      </c>
      <c r="C18" s="70">
        <f t="shared" si="1"/>
        <v>46109</v>
      </c>
      <c r="D18" s="71">
        <f>FORECAST(B18,$D$6:$D$15,$B$6:$B$15)</f>
        <v>6749.7565454545456</v>
      </c>
      <c r="E18" s="72">
        <f t="shared" si="6"/>
        <v>7.6043227358004284E-2</v>
      </c>
      <c r="G18" s="69">
        <f t="shared" si="2"/>
        <v>13</v>
      </c>
      <c r="H18" s="70">
        <f t="shared" si="3"/>
        <v>46109</v>
      </c>
      <c r="I18" s="71">
        <f t="shared" si="9"/>
        <v>992.2210909090918</v>
      </c>
      <c r="J18" s="72">
        <f t="shared" si="7"/>
        <v>0.10089659909644144</v>
      </c>
      <c r="L18" s="69">
        <f t="shared" si="4"/>
        <v>13</v>
      </c>
      <c r="M18" s="70">
        <f t="shared" si="5"/>
        <v>46109</v>
      </c>
      <c r="N18" s="71">
        <f t="shared" si="10"/>
        <v>-2.361538658602675</v>
      </c>
      <c r="O18" s="72">
        <f t="shared" si="8"/>
        <v>4.2283729042515317E-2</v>
      </c>
    </row>
    <row r="19" spans="2:33" x14ac:dyDescent="0.3">
      <c r="B19" s="69">
        <f t="shared" si="0"/>
        <v>14</v>
      </c>
      <c r="C19" s="70">
        <f t="shared" si="1"/>
        <v>46474</v>
      </c>
      <c r="D19" s="71">
        <f>FORECAST(B19,$D$6:$D$15,$B$6:$B$15)</f>
        <v>7226.7571515151521</v>
      </c>
      <c r="E19" s="72">
        <f t="shared" si="6"/>
        <v>7.0669305307289987E-2</v>
      </c>
      <c r="G19" s="69">
        <f t="shared" si="2"/>
        <v>14</v>
      </c>
      <c r="H19" s="70">
        <f t="shared" si="3"/>
        <v>46474</v>
      </c>
      <c r="I19" s="71">
        <f t="shared" si="9"/>
        <v>1083.1576363636373</v>
      </c>
      <c r="J19" s="72">
        <f t="shared" si="7"/>
        <v>9.1649478415367858E-2</v>
      </c>
      <c r="L19" s="69">
        <f t="shared" si="4"/>
        <v>14</v>
      </c>
      <c r="M19" s="70">
        <f t="shared" si="5"/>
        <v>46474</v>
      </c>
      <c r="N19" s="71">
        <f t="shared" si="10"/>
        <v>-2.4573423807384032</v>
      </c>
      <c r="O19" s="72">
        <f t="shared" si="8"/>
        <v>4.0568348007656629E-2</v>
      </c>
    </row>
    <row r="20" spans="2:33" x14ac:dyDescent="0.3">
      <c r="B20" s="69">
        <f t="shared" si="0"/>
        <v>15</v>
      </c>
      <c r="C20" s="70">
        <f t="shared" si="1"/>
        <v>46839</v>
      </c>
      <c r="D20" s="71">
        <f>FORECAST(B20,$D$6:$D$15,$B$6:$B$15)</f>
        <v>7703.7577575757578</v>
      </c>
      <c r="E20" s="72">
        <f t="shared" si="6"/>
        <v>6.6004792476055174E-2</v>
      </c>
      <c r="G20" s="69">
        <f t="shared" si="2"/>
        <v>15</v>
      </c>
      <c r="H20" s="70">
        <f t="shared" si="3"/>
        <v>46839</v>
      </c>
      <c r="I20" s="71">
        <f t="shared" si="9"/>
        <v>1174.094181818183</v>
      </c>
      <c r="J20" s="72">
        <f t="shared" si="7"/>
        <v>8.3955042554873849E-2</v>
      </c>
      <c r="L20" s="69">
        <f t="shared" si="4"/>
        <v>15</v>
      </c>
      <c r="M20" s="70">
        <f t="shared" si="5"/>
        <v>46839</v>
      </c>
      <c r="N20" s="71">
        <f t="shared" si="10"/>
        <v>-2.5531461028741322</v>
      </c>
      <c r="O20" s="72">
        <f t="shared" si="8"/>
        <v>3.8986721136897939E-2</v>
      </c>
    </row>
    <row r="21" spans="2:33" x14ac:dyDescent="0.3">
      <c r="Z21" s="8"/>
      <c r="AA21" s="66"/>
      <c r="AG21" s="66"/>
    </row>
    <row r="22" spans="2:33" x14ac:dyDescent="0.3">
      <c r="Z22" s="8"/>
      <c r="AA22" s="66"/>
    </row>
    <row r="23" spans="2:33" x14ac:dyDescent="0.3">
      <c r="Z23" s="8"/>
      <c r="AA23" s="66"/>
    </row>
    <row r="24" spans="2:33" x14ac:dyDescent="0.3">
      <c r="Z24" s="8"/>
      <c r="AA24" s="66"/>
    </row>
  </sheetData>
  <mergeCells count="3">
    <mergeCell ref="B4:E4"/>
    <mergeCell ref="G4:J4"/>
    <mergeCell ref="L4:O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E5CA-8B11-42C8-8264-A48CDD9AD217}">
  <dimension ref="A1"/>
  <sheetViews>
    <sheetView showGridLines="0"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E5F19-CD94-4018-A96C-1CCA655F381E}">
  <sheetPr>
    <tabColor theme="1"/>
  </sheetPr>
  <dimension ref="A1"/>
  <sheetViews>
    <sheetView showGridLines="0"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K93"/>
  <sheetViews>
    <sheetView showGridLines="0" zoomScaleNormal="100" zoomScalePageLayoutView="120" workbookViewId="0">
      <pane xSplit="1" ySplit="1" topLeftCell="B10" activePane="bottomRight" state="frozen"/>
      <selection activeCell="C4" sqref="C4"/>
      <selection pane="topRight" activeCell="C4" sqref="C4"/>
      <selection pane="bottomLeft" activeCell="C4" sqref="C4"/>
      <selection pane="bottomRight" activeCell="B17" sqref="B17:K17"/>
    </sheetView>
  </sheetViews>
  <sheetFormatPr defaultColWidth="8.77734375" defaultRowHeight="14.4" x14ac:dyDescent="0.3"/>
  <cols>
    <col min="1" max="1" width="27.6640625" style="3" bestFit="1" customWidth="1"/>
    <col min="2" max="11" width="13.44140625" style="3" bestFit="1" customWidth="1"/>
    <col min="12" max="16384" width="8.77734375" style="3"/>
  </cols>
  <sheetData>
    <row r="1" spans="1:11" s="1" customFormat="1" x14ac:dyDescent="0.3">
      <c r="A1" s="1" t="s">
        <v>54</v>
      </c>
      <c r="B1" s="1" t="s">
        <v>32</v>
      </c>
      <c r="E1" s="76" t="str">
        <f>IF(B2&lt;&gt;B3, "A NEW VERSION OF THE WORKSHEET IS AVAILABLE", "")</f>
        <v/>
      </c>
      <c r="F1" s="76"/>
      <c r="G1" s="76"/>
      <c r="H1" s="76"/>
      <c r="I1" s="76"/>
      <c r="J1" s="76"/>
      <c r="K1" s="76"/>
    </row>
    <row r="2" spans="1:11" x14ac:dyDescent="0.3">
      <c r="A2" s="1" t="s">
        <v>30</v>
      </c>
      <c r="B2" s="3">
        <v>2.1</v>
      </c>
      <c r="E2" s="77" t="s">
        <v>21</v>
      </c>
      <c r="F2" s="77"/>
      <c r="G2" s="77"/>
      <c r="H2" s="77"/>
      <c r="I2" s="77"/>
      <c r="J2" s="77"/>
      <c r="K2" s="77"/>
    </row>
    <row r="3" spans="1:11" x14ac:dyDescent="0.3">
      <c r="A3" s="1" t="s">
        <v>31</v>
      </c>
      <c r="B3" s="3">
        <v>2.1</v>
      </c>
    </row>
    <row r="4" spans="1:11" x14ac:dyDescent="0.3">
      <c r="A4" s="1"/>
    </row>
    <row r="5" spans="1:11" x14ac:dyDescent="0.3">
      <c r="A5" s="1" t="s">
        <v>33</v>
      </c>
    </row>
    <row r="6" spans="1:11" x14ac:dyDescent="0.3">
      <c r="A6" s="3" t="s">
        <v>27</v>
      </c>
      <c r="B6" s="3">
        <f>IF(B9&gt;0, B9/B8, 0)</f>
        <v>35.553929634167687</v>
      </c>
    </row>
    <row r="7" spans="1:11" x14ac:dyDescent="0.3">
      <c r="A7" s="3" t="s">
        <v>16</v>
      </c>
      <c r="B7">
        <v>1</v>
      </c>
    </row>
    <row r="8" spans="1:11" x14ac:dyDescent="0.3">
      <c r="A8" s="3" t="s">
        <v>28</v>
      </c>
      <c r="B8">
        <v>1713.9</v>
      </c>
    </row>
    <row r="9" spans="1:11" x14ac:dyDescent="0.3">
      <c r="A9" s="3" t="s">
        <v>43</v>
      </c>
      <c r="B9">
        <v>60935.88</v>
      </c>
    </row>
    <row r="15" spans="1:11" x14ac:dyDescent="0.3">
      <c r="A15" s="1" t="s">
        <v>22</v>
      </c>
    </row>
    <row r="16" spans="1:11" s="7" customFormat="1" x14ac:dyDescent="0.3">
      <c r="A16" s="6" t="s">
        <v>23</v>
      </c>
      <c r="B16" s="5">
        <v>41729</v>
      </c>
      <c r="C16" s="5">
        <v>42094</v>
      </c>
      <c r="D16" s="5">
        <v>42460</v>
      </c>
      <c r="E16" s="5">
        <v>42825</v>
      </c>
      <c r="F16" s="5">
        <v>43190</v>
      </c>
      <c r="G16" s="5">
        <v>43555</v>
      </c>
      <c r="H16" s="5">
        <v>43921</v>
      </c>
      <c r="I16" s="5">
        <v>44286</v>
      </c>
      <c r="J16" s="5">
        <v>44651</v>
      </c>
      <c r="K16" s="5">
        <v>45016</v>
      </c>
    </row>
    <row r="17" spans="1:11" s="4" customFormat="1" x14ac:dyDescent="0.3">
      <c r="A17" s="4" t="s">
        <v>0</v>
      </c>
      <c r="B17">
        <v>2332.98</v>
      </c>
      <c r="C17">
        <v>2284.25</v>
      </c>
      <c r="D17">
        <v>1686.17</v>
      </c>
      <c r="E17">
        <v>1812.44</v>
      </c>
      <c r="F17">
        <v>2157.46</v>
      </c>
      <c r="G17">
        <v>2630.24</v>
      </c>
      <c r="H17">
        <v>3485.98</v>
      </c>
      <c r="I17">
        <v>2592.96</v>
      </c>
      <c r="J17">
        <v>4498.0200000000004</v>
      </c>
      <c r="K17">
        <v>8242.02</v>
      </c>
    </row>
    <row r="18" spans="1:11" s="4" customFormat="1" x14ac:dyDescent="0.3">
      <c r="A18" s="3" t="s">
        <v>44</v>
      </c>
      <c r="B18">
        <v>1469.85</v>
      </c>
      <c r="C18">
        <v>1326.61</v>
      </c>
      <c r="D18">
        <v>810.2</v>
      </c>
      <c r="E18">
        <v>911.22</v>
      </c>
      <c r="F18">
        <v>1070.02</v>
      </c>
      <c r="G18">
        <v>1459.67</v>
      </c>
      <c r="H18">
        <v>1951.64</v>
      </c>
      <c r="I18">
        <v>1371.64</v>
      </c>
      <c r="J18">
        <v>2920.38</v>
      </c>
      <c r="K18">
        <v>5211.05</v>
      </c>
    </row>
    <row r="19" spans="1:11" s="4" customFormat="1" x14ac:dyDescent="0.3">
      <c r="A19" s="3" t="s">
        <v>45</v>
      </c>
      <c r="B19">
        <v>16.72</v>
      </c>
      <c r="C19">
        <v>-2.34</v>
      </c>
      <c r="D19">
        <v>14.59</v>
      </c>
      <c r="E19">
        <v>29.86</v>
      </c>
      <c r="F19">
        <v>38.51</v>
      </c>
      <c r="G19">
        <v>148.22999999999999</v>
      </c>
      <c r="H19">
        <v>69.89</v>
      </c>
      <c r="I19">
        <v>-162.36000000000001</v>
      </c>
      <c r="J19">
        <v>438.84</v>
      </c>
      <c r="K19">
        <v>491.31</v>
      </c>
    </row>
    <row r="20" spans="1:11" s="4" customFormat="1" x14ac:dyDescent="0.3">
      <c r="A20" s="3" t="s">
        <v>46</v>
      </c>
      <c r="B20">
        <v>71.17</v>
      </c>
      <c r="C20">
        <v>52.63</v>
      </c>
      <c r="D20">
        <v>48.92</v>
      </c>
      <c r="E20">
        <v>51.28</v>
      </c>
      <c r="F20">
        <v>52.75</v>
      </c>
      <c r="G20">
        <v>59.18</v>
      </c>
      <c r="H20">
        <v>66.64</v>
      </c>
      <c r="I20">
        <v>49.41</v>
      </c>
      <c r="J20">
        <v>71.89</v>
      </c>
      <c r="K20">
        <v>144.28</v>
      </c>
    </row>
    <row r="21" spans="1:11" s="4" customFormat="1" x14ac:dyDescent="0.3">
      <c r="A21" s="3" t="s">
        <v>47</v>
      </c>
      <c r="B21">
        <v>89.82</v>
      </c>
      <c r="C21">
        <v>77.98</v>
      </c>
      <c r="D21">
        <v>76.42</v>
      </c>
      <c r="E21">
        <v>81.91</v>
      </c>
      <c r="F21">
        <v>90.78</v>
      </c>
      <c r="G21">
        <v>122.09</v>
      </c>
      <c r="H21">
        <v>97.51</v>
      </c>
      <c r="I21">
        <v>92</v>
      </c>
      <c r="J21">
        <v>127.14</v>
      </c>
      <c r="K21">
        <v>211.99</v>
      </c>
    </row>
    <row r="22" spans="1:11" s="4" customFormat="1" x14ac:dyDescent="0.3">
      <c r="A22" s="3" t="s">
        <v>48</v>
      </c>
      <c r="B22">
        <v>198.73</v>
      </c>
      <c r="C22">
        <v>208.41</v>
      </c>
      <c r="D22">
        <v>165.69</v>
      </c>
      <c r="E22">
        <v>194.72</v>
      </c>
      <c r="F22">
        <v>233.02</v>
      </c>
      <c r="G22">
        <v>288.89</v>
      </c>
      <c r="H22">
        <v>361.01</v>
      </c>
      <c r="I22">
        <v>303.39999999999998</v>
      </c>
      <c r="J22">
        <v>402.92</v>
      </c>
      <c r="K22">
        <v>659.07</v>
      </c>
    </row>
    <row r="23" spans="1:11" s="4" customFormat="1" x14ac:dyDescent="0.3">
      <c r="A23" s="3" t="s">
        <v>49</v>
      </c>
      <c r="B23">
        <v>480.59</v>
      </c>
      <c r="C23">
        <v>431.85</v>
      </c>
      <c r="D23">
        <v>444.06</v>
      </c>
      <c r="E23">
        <v>407.07</v>
      </c>
      <c r="F23">
        <v>450.61</v>
      </c>
      <c r="G23">
        <v>514.41</v>
      </c>
      <c r="H23">
        <v>436.82</v>
      </c>
      <c r="I23">
        <v>364.62</v>
      </c>
      <c r="J23">
        <v>705.03</v>
      </c>
      <c r="K23">
        <v>1252.53</v>
      </c>
    </row>
    <row r="24" spans="1:11" s="4" customFormat="1" x14ac:dyDescent="0.3">
      <c r="A24" s="3" t="s">
        <v>50</v>
      </c>
      <c r="B24">
        <v>49.51</v>
      </c>
      <c r="C24">
        <v>96.63</v>
      </c>
      <c r="D24">
        <v>65.709999999999994</v>
      </c>
      <c r="E24">
        <v>62.57</v>
      </c>
      <c r="F24">
        <v>90.29</v>
      </c>
      <c r="G24">
        <v>93.59</v>
      </c>
      <c r="H24">
        <v>113.28</v>
      </c>
      <c r="I24">
        <v>135.66</v>
      </c>
      <c r="J24">
        <v>114.78</v>
      </c>
      <c r="K24">
        <v>140.26</v>
      </c>
    </row>
    <row r="25" spans="1:11" s="4" customFormat="1" x14ac:dyDescent="0.3">
      <c r="A25" s="4" t="s">
        <v>3</v>
      </c>
      <c r="B25">
        <v>90.95</v>
      </c>
      <c r="C25">
        <v>208.37</v>
      </c>
      <c r="D25">
        <v>86.44</v>
      </c>
      <c r="E25">
        <v>81.31</v>
      </c>
      <c r="F25">
        <v>27.47</v>
      </c>
      <c r="G25">
        <v>30.14</v>
      </c>
      <c r="H25">
        <v>146.63</v>
      </c>
      <c r="I25">
        <v>199.4</v>
      </c>
      <c r="J25">
        <v>152.16</v>
      </c>
      <c r="K25">
        <v>340.66</v>
      </c>
    </row>
    <row r="26" spans="1:11" s="4" customFormat="1" x14ac:dyDescent="0.3">
      <c r="A26" s="4" t="s">
        <v>4</v>
      </c>
      <c r="B26">
        <v>53.62</v>
      </c>
      <c r="C26">
        <v>74.7</v>
      </c>
      <c r="D26">
        <v>38.590000000000003</v>
      </c>
      <c r="E26">
        <v>41.29</v>
      </c>
      <c r="F26">
        <v>45.53</v>
      </c>
      <c r="G26">
        <v>51.67</v>
      </c>
      <c r="H26">
        <v>247.24</v>
      </c>
      <c r="I26">
        <v>257.3</v>
      </c>
      <c r="J26">
        <v>310.82</v>
      </c>
      <c r="K26">
        <v>493.69</v>
      </c>
    </row>
    <row r="27" spans="1:11" s="4" customFormat="1" x14ac:dyDescent="0.3">
      <c r="A27" s="4" t="s">
        <v>5</v>
      </c>
      <c r="B27">
        <v>25.87</v>
      </c>
      <c r="C27">
        <v>21.97</v>
      </c>
      <c r="D27">
        <v>47.73</v>
      </c>
      <c r="E27">
        <v>45.55</v>
      </c>
      <c r="F27">
        <v>43.78</v>
      </c>
      <c r="G27">
        <v>50.64</v>
      </c>
      <c r="H27">
        <v>263.37</v>
      </c>
      <c r="I27">
        <v>260.79000000000002</v>
      </c>
      <c r="J27">
        <v>324.83999999999997</v>
      </c>
      <c r="K27">
        <v>408.99</v>
      </c>
    </row>
    <row r="28" spans="1:11" s="4" customFormat="1" x14ac:dyDescent="0.3">
      <c r="A28" s="4" t="s">
        <v>6</v>
      </c>
      <c r="B28">
        <v>1.49</v>
      </c>
      <c r="C28">
        <v>199.5</v>
      </c>
      <c r="D28">
        <v>89.88</v>
      </c>
      <c r="E28">
        <v>128</v>
      </c>
      <c r="F28">
        <v>146.66</v>
      </c>
      <c r="G28">
        <v>168.47</v>
      </c>
      <c r="H28">
        <v>164.99</v>
      </c>
      <c r="I28">
        <v>-204.82</v>
      </c>
      <c r="J28">
        <v>111.22</v>
      </c>
      <c r="K28">
        <v>552.13</v>
      </c>
    </row>
    <row r="29" spans="1:11" s="4" customFormat="1" x14ac:dyDescent="0.3">
      <c r="A29" s="4" t="s">
        <v>7</v>
      </c>
      <c r="B29">
        <v>20.22</v>
      </c>
      <c r="C29">
        <v>70.069999999999993</v>
      </c>
      <c r="D29">
        <v>34.71</v>
      </c>
      <c r="E29">
        <v>43.05</v>
      </c>
      <c r="F29">
        <v>59.62</v>
      </c>
      <c r="G29">
        <v>73.61</v>
      </c>
      <c r="H29">
        <v>59.01</v>
      </c>
      <c r="I29">
        <v>-23.69</v>
      </c>
      <c r="J29">
        <v>76.62</v>
      </c>
      <c r="K29">
        <v>158.44</v>
      </c>
    </row>
    <row r="30" spans="1:11" s="4" customFormat="1" x14ac:dyDescent="0.3">
      <c r="A30" s="4" t="s">
        <v>8</v>
      </c>
      <c r="B30">
        <v>-18.55</v>
      </c>
      <c r="C30">
        <v>129.33000000000001</v>
      </c>
      <c r="D30">
        <v>55.1</v>
      </c>
      <c r="E30">
        <v>84.86</v>
      </c>
      <c r="F30">
        <v>86.97</v>
      </c>
      <c r="G30">
        <v>96.96</v>
      </c>
      <c r="H30">
        <v>122.85</v>
      </c>
      <c r="I30">
        <v>-146.16999999999999</v>
      </c>
      <c r="J30">
        <v>105.83</v>
      </c>
      <c r="K30">
        <v>444.69</v>
      </c>
    </row>
    <row r="31" spans="1:11" s="4" customFormat="1" x14ac:dyDescent="0.3">
      <c r="A31" s="4" t="s">
        <v>34</v>
      </c>
      <c r="B31">
        <v>23.26</v>
      </c>
      <c r="C31">
        <v>33.229999999999997</v>
      </c>
      <c r="D31">
        <v>29.91</v>
      </c>
      <c r="E31">
        <v>33.229999999999997</v>
      </c>
      <c r="F31">
        <v>38.21</v>
      </c>
      <c r="G31">
        <v>43.2</v>
      </c>
      <c r="H31">
        <v>35.549999999999997</v>
      </c>
      <c r="I31">
        <v>21.33</v>
      </c>
      <c r="J31">
        <v>60.44</v>
      </c>
      <c r="K31">
        <v>78.209999999999994</v>
      </c>
    </row>
    <row r="32" spans="1:11" s="4" customFormat="1" x14ac:dyDescent="0.3"/>
    <row r="33" spans="1:11" x14ac:dyDescent="0.3">
      <c r="A33" s="4"/>
    </row>
    <row r="34" spans="1:11" x14ac:dyDescent="0.3">
      <c r="A34" s="4"/>
    </row>
    <row r="35" spans="1:11" x14ac:dyDescent="0.3">
      <c r="A35" s="4"/>
    </row>
    <row r="36" spans="1:11" x14ac:dyDescent="0.3">
      <c r="A36" s="4"/>
    </row>
    <row r="37" spans="1:11" x14ac:dyDescent="0.3">
      <c r="A37" s="4"/>
    </row>
    <row r="38" spans="1:11" x14ac:dyDescent="0.3">
      <c r="A38" s="4"/>
    </row>
    <row r="39" spans="1:11" x14ac:dyDescent="0.3">
      <c r="A39" s="4"/>
    </row>
    <row r="40" spans="1:11" x14ac:dyDescent="0.3">
      <c r="A40" s="1" t="s">
        <v>24</v>
      </c>
    </row>
    <row r="41" spans="1:11" s="7" customFormat="1" x14ac:dyDescent="0.3">
      <c r="A41" s="6" t="s">
        <v>23</v>
      </c>
      <c r="B41" s="5">
        <v>44196</v>
      </c>
      <c r="C41" s="5">
        <v>44286</v>
      </c>
      <c r="D41" s="5">
        <v>44377</v>
      </c>
      <c r="E41" s="5">
        <v>44469</v>
      </c>
      <c r="F41" s="5">
        <v>44561</v>
      </c>
      <c r="G41" s="5">
        <v>44651</v>
      </c>
      <c r="H41" s="5">
        <v>44742</v>
      </c>
      <c r="I41" s="5">
        <v>44834</v>
      </c>
      <c r="J41" s="5">
        <v>44926</v>
      </c>
      <c r="K41" s="5">
        <v>45016</v>
      </c>
    </row>
    <row r="42" spans="1:11" s="4" customFormat="1" x14ac:dyDescent="0.3">
      <c r="A42" s="4" t="s">
        <v>0</v>
      </c>
      <c r="B42">
        <v>853.63</v>
      </c>
      <c r="C42">
        <v>905.55</v>
      </c>
      <c r="D42">
        <v>491.99</v>
      </c>
      <c r="E42">
        <v>1178.0899999999999</v>
      </c>
      <c r="F42">
        <v>1499.08</v>
      </c>
      <c r="G42">
        <v>1328.86</v>
      </c>
      <c r="H42">
        <v>1803.15</v>
      </c>
      <c r="I42">
        <v>1952.74</v>
      </c>
      <c r="J42">
        <v>2303.38</v>
      </c>
      <c r="K42">
        <v>2182.75</v>
      </c>
    </row>
    <row r="43" spans="1:11" s="4" customFormat="1" x14ac:dyDescent="0.3">
      <c r="A43" s="4" t="s">
        <v>1</v>
      </c>
      <c r="B43">
        <v>682.15</v>
      </c>
      <c r="C43">
        <v>800.99</v>
      </c>
      <c r="D43">
        <v>556.85</v>
      </c>
      <c r="E43">
        <v>968.36</v>
      </c>
      <c r="F43">
        <v>1226.44</v>
      </c>
      <c r="G43">
        <v>1203.8399999999999</v>
      </c>
      <c r="H43">
        <v>1511.52</v>
      </c>
      <c r="I43">
        <v>1696.93</v>
      </c>
      <c r="J43">
        <v>1980.19</v>
      </c>
      <c r="K43">
        <v>1979.73</v>
      </c>
    </row>
    <row r="44" spans="1:11" s="4" customFormat="1" x14ac:dyDescent="0.3">
      <c r="A44" s="4" t="s">
        <v>3</v>
      </c>
      <c r="B44">
        <v>45.26</v>
      </c>
      <c r="C44">
        <v>67.44</v>
      </c>
      <c r="D44">
        <v>40.9</v>
      </c>
      <c r="E44">
        <v>57.44</v>
      </c>
      <c r="F44">
        <v>41.8</v>
      </c>
      <c r="G44">
        <v>44.11</v>
      </c>
      <c r="H44">
        <v>77.84</v>
      </c>
      <c r="I44">
        <v>83.88</v>
      </c>
      <c r="J44">
        <v>90.7</v>
      </c>
      <c r="K44">
        <v>88.97</v>
      </c>
    </row>
    <row r="45" spans="1:11" s="4" customFormat="1" x14ac:dyDescent="0.3">
      <c r="A45" s="4" t="s">
        <v>4</v>
      </c>
      <c r="B45">
        <v>63.14</v>
      </c>
      <c r="C45">
        <v>67.8</v>
      </c>
      <c r="D45">
        <v>68.52</v>
      </c>
      <c r="E45">
        <v>72.86</v>
      </c>
      <c r="F45">
        <v>80.459999999999994</v>
      </c>
      <c r="G45">
        <v>88.98</v>
      </c>
      <c r="H45">
        <v>127.33</v>
      </c>
      <c r="I45">
        <v>111.61</v>
      </c>
      <c r="J45">
        <v>118.18</v>
      </c>
      <c r="K45">
        <v>136.57</v>
      </c>
    </row>
    <row r="46" spans="1:11" s="4" customFormat="1" x14ac:dyDescent="0.3">
      <c r="A46" s="4" t="s">
        <v>5</v>
      </c>
      <c r="B46">
        <v>63.9</v>
      </c>
      <c r="C46">
        <v>64.33</v>
      </c>
      <c r="D46">
        <v>71.239999999999995</v>
      </c>
      <c r="E46">
        <v>75.349999999999994</v>
      </c>
      <c r="F46">
        <v>76.72</v>
      </c>
      <c r="G46">
        <v>81.430000000000007</v>
      </c>
      <c r="H46">
        <v>95.43</v>
      </c>
      <c r="I46">
        <v>90.95</v>
      </c>
      <c r="J46">
        <v>91.25</v>
      </c>
      <c r="K46">
        <v>91.59</v>
      </c>
    </row>
    <row r="47" spans="1:11" s="4" customFormat="1" x14ac:dyDescent="0.3">
      <c r="A47" s="4" t="s">
        <v>6</v>
      </c>
      <c r="B47">
        <v>89.7</v>
      </c>
      <c r="C47">
        <v>39.869999999999997</v>
      </c>
      <c r="D47">
        <v>-163.72</v>
      </c>
      <c r="E47">
        <v>118.96</v>
      </c>
      <c r="F47">
        <v>157.26</v>
      </c>
      <c r="G47">
        <v>-1.28</v>
      </c>
      <c r="H47">
        <v>146.71</v>
      </c>
      <c r="I47">
        <v>137.13</v>
      </c>
      <c r="J47">
        <v>204.46</v>
      </c>
      <c r="K47">
        <v>63.83</v>
      </c>
    </row>
    <row r="48" spans="1:11" s="4" customFormat="1" x14ac:dyDescent="0.3">
      <c r="A48" s="4" t="s">
        <v>7</v>
      </c>
      <c r="B48">
        <v>25.67</v>
      </c>
      <c r="C48">
        <v>22.43</v>
      </c>
      <c r="D48">
        <v>-25.43</v>
      </c>
      <c r="E48">
        <v>38.97</v>
      </c>
      <c r="F48">
        <v>43.48</v>
      </c>
      <c r="G48">
        <v>19.59</v>
      </c>
      <c r="H48">
        <v>31.78</v>
      </c>
      <c r="I48">
        <v>58.19</v>
      </c>
      <c r="J48">
        <v>49.65</v>
      </c>
      <c r="K48">
        <v>18.82</v>
      </c>
    </row>
    <row r="49" spans="1:11" s="4" customFormat="1" x14ac:dyDescent="0.3">
      <c r="A49" s="4" t="s">
        <v>8</v>
      </c>
      <c r="B49">
        <v>73.930000000000007</v>
      </c>
      <c r="C49">
        <v>29.02</v>
      </c>
      <c r="D49">
        <v>-126.59</v>
      </c>
      <c r="E49">
        <v>92.58</v>
      </c>
      <c r="F49">
        <v>139.69</v>
      </c>
      <c r="G49">
        <v>0.16</v>
      </c>
      <c r="H49">
        <v>130.51</v>
      </c>
      <c r="I49">
        <v>93.02</v>
      </c>
      <c r="J49">
        <v>167</v>
      </c>
      <c r="K49">
        <v>54.16</v>
      </c>
    </row>
    <row r="50" spans="1:11" x14ac:dyDescent="0.3">
      <c r="A50" s="4" t="s">
        <v>2</v>
      </c>
      <c r="B50">
        <v>171.48</v>
      </c>
      <c r="C50">
        <v>104.56</v>
      </c>
      <c r="D50">
        <v>-64.86</v>
      </c>
      <c r="E50">
        <v>209.73</v>
      </c>
      <c r="F50">
        <v>272.64</v>
      </c>
      <c r="G50">
        <v>125.02</v>
      </c>
      <c r="H50">
        <v>291.63</v>
      </c>
      <c r="I50">
        <v>255.81</v>
      </c>
      <c r="J50">
        <v>323.19</v>
      </c>
      <c r="K50">
        <v>203.02</v>
      </c>
    </row>
    <row r="51" spans="1:11" x14ac:dyDescent="0.3">
      <c r="A51" s="4"/>
    </row>
    <row r="52" spans="1:11" x14ac:dyDescent="0.3">
      <c r="A52" s="4"/>
    </row>
    <row r="53" spans="1:11" x14ac:dyDescent="0.3">
      <c r="A53" s="4"/>
    </row>
    <row r="54" spans="1:11" x14ac:dyDescent="0.3">
      <c r="A54" s="4"/>
    </row>
    <row r="55" spans="1:11" x14ac:dyDescent="0.3">
      <c r="A55" s="1" t="s">
        <v>25</v>
      </c>
    </row>
    <row r="56" spans="1:11" s="7" customFormat="1" x14ac:dyDescent="0.3">
      <c r="A56" s="6" t="s">
        <v>23</v>
      </c>
      <c r="B56" s="5">
        <v>41729</v>
      </c>
      <c r="C56" s="5">
        <v>42094</v>
      </c>
      <c r="D56" s="5">
        <v>42460</v>
      </c>
      <c r="E56" s="5">
        <v>42825</v>
      </c>
      <c r="F56" s="5">
        <v>43190</v>
      </c>
      <c r="G56" s="5">
        <v>43555</v>
      </c>
      <c r="H56" s="5">
        <v>43921</v>
      </c>
      <c r="I56" s="5">
        <v>44286</v>
      </c>
      <c r="J56" s="5">
        <v>44651</v>
      </c>
      <c r="K56" s="5">
        <v>45016</v>
      </c>
    </row>
    <row r="57" spans="1:11" x14ac:dyDescent="0.3">
      <c r="A57" s="4" t="s">
        <v>10</v>
      </c>
      <c r="B57">
        <v>33.229999999999997</v>
      </c>
      <c r="C57">
        <v>33.229999999999997</v>
      </c>
      <c r="D57">
        <v>33.229999999999997</v>
      </c>
      <c r="E57">
        <v>33.229999999999997</v>
      </c>
      <c r="F57">
        <v>33.229999999999997</v>
      </c>
      <c r="G57">
        <v>33.229999999999997</v>
      </c>
      <c r="H57">
        <v>35.549999999999997</v>
      </c>
      <c r="I57">
        <v>35.549999999999997</v>
      </c>
      <c r="J57">
        <v>35.549999999999997</v>
      </c>
      <c r="K57">
        <v>35.549999999999997</v>
      </c>
    </row>
    <row r="58" spans="1:11" x14ac:dyDescent="0.3">
      <c r="A58" s="4" t="s">
        <v>11</v>
      </c>
      <c r="B58">
        <v>957.58</v>
      </c>
      <c r="C58">
        <v>1388.73</v>
      </c>
      <c r="D58">
        <v>1431.16</v>
      </c>
      <c r="E58">
        <v>1514.46</v>
      </c>
      <c r="F58">
        <v>1562.14</v>
      </c>
      <c r="G58">
        <v>1613.28</v>
      </c>
      <c r="H58">
        <v>2352.2199999999998</v>
      </c>
      <c r="I58">
        <v>2277.48</v>
      </c>
      <c r="J58">
        <v>2328.4499999999998</v>
      </c>
      <c r="K58">
        <v>2559.94</v>
      </c>
    </row>
    <row r="59" spans="1:11" x14ac:dyDescent="0.3">
      <c r="A59" s="4" t="s">
        <v>35</v>
      </c>
      <c r="B59">
        <v>331.55</v>
      </c>
      <c r="C59">
        <v>266.85000000000002</v>
      </c>
      <c r="D59">
        <v>399.8</v>
      </c>
      <c r="E59">
        <v>391.74</v>
      </c>
      <c r="F59">
        <v>391.43</v>
      </c>
      <c r="G59">
        <v>494.14</v>
      </c>
      <c r="H59">
        <v>299.74</v>
      </c>
      <c r="I59">
        <v>299.93</v>
      </c>
      <c r="J59">
        <v>4725.3599999999997</v>
      </c>
      <c r="K59">
        <v>4464.1400000000003</v>
      </c>
    </row>
    <row r="60" spans="1:11" x14ac:dyDescent="0.3">
      <c r="A60" s="4" t="s">
        <v>36</v>
      </c>
      <c r="B60">
        <v>613.85</v>
      </c>
      <c r="C60">
        <v>517.73</v>
      </c>
      <c r="D60">
        <v>292.39999999999998</v>
      </c>
      <c r="E60">
        <v>282.82</v>
      </c>
      <c r="F60">
        <v>349.06</v>
      </c>
      <c r="G60">
        <v>418.11</v>
      </c>
      <c r="H60">
        <v>2819.17</v>
      </c>
      <c r="I60">
        <v>3110.77</v>
      </c>
      <c r="J60">
        <v>636.66</v>
      </c>
      <c r="K60">
        <v>1021.9</v>
      </c>
    </row>
    <row r="61" spans="1:11" s="1" customFormat="1" x14ac:dyDescent="0.3">
      <c r="A61" s="1" t="s">
        <v>12</v>
      </c>
      <c r="B61">
        <v>1936.21</v>
      </c>
      <c r="C61">
        <v>2206.54</v>
      </c>
      <c r="D61">
        <v>2156.59</v>
      </c>
      <c r="E61">
        <v>2222.25</v>
      </c>
      <c r="F61">
        <v>2335.86</v>
      </c>
      <c r="G61">
        <v>2558.7600000000002</v>
      </c>
      <c r="H61">
        <v>5506.68</v>
      </c>
      <c r="I61">
        <v>5723.73</v>
      </c>
      <c r="J61">
        <v>7726.02</v>
      </c>
      <c r="K61">
        <v>8081.53</v>
      </c>
    </row>
    <row r="62" spans="1:11" x14ac:dyDescent="0.3">
      <c r="A62" s="4" t="s">
        <v>13</v>
      </c>
      <c r="B62">
        <v>720.12</v>
      </c>
      <c r="C62">
        <v>668.46</v>
      </c>
      <c r="D62">
        <v>476.79</v>
      </c>
      <c r="E62">
        <v>548.71</v>
      </c>
      <c r="F62">
        <v>612.53</v>
      </c>
      <c r="G62">
        <v>662.18</v>
      </c>
      <c r="H62">
        <v>2738.43</v>
      </c>
      <c r="I62">
        <v>3053.82</v>
      </c>
      <c r="J62">
        <v>4686.71</v>
      </c>
      <c r="K62">
        <v>4526.95</v>
      </c>
    </row>
    <row r="63" spans="1:11" x14ac:dyDescent="0.3">
      <c r="A63" s="4" t="s">
        <v>14</v>
      </c>
      <c r="B63">
        <v>137.57</v>
      </c>
      <c r="C63">
        <v>92.13</v>
      </c>
      <c r="D63">
        <v>54.86</v>
      </c>
      <c r="E63">
        <v>5.48</v>
      </c>
      <c r="F63">
        <v>9.59</v>
      </c>
      <c r="G63">
        <v>87.18</v>
      </c>
      <c r="H63">
        <v>23.32</v>
      </c>
      <c r="I63">
        <v>107.98</v>
      </c>
      <c r="J63">
        <v>104.72</v>
      </c>
      <c r="K63">
        <v>101.72</v>
      </c>
    </row>
    <row r="64" spans="1:11" x14ac:dyDescent="0.3">
      <c r="A64" s="4" t="s">
        <v>15</v>
      </c>
      <c r="B64">
        <v>300.33999999999997</v>
      </c>
      <c r="C64">
        <v>739.72</v>
      </c>
      <c r="D64">
        <v>1066.97</v>
      </c>
      <c r="E64">
        <v>1079.96</v>
      </c>
      <c r="F64">
        <v>1022.88</v>
      </c>
      <c r="G64">
        <v>882.83</v>
      </c>
      <c r="H64">
        <v>1514.78</v>
      </c>
      <c r="I64">
        <v>1487.29</v>
      </c>
      <c r="J64">
        <v>1283.72</v>
      </c>
      <c r="K64">
        <v>1109.8699999999999</v>
      </c>
    </row>
    <row r="65" spans="1:11" x14ac:dyDescent="0.3">
      <c r="A65" s="4" t="s">
        <v>37</v>
      </c>
      <c r="B65">
        <v>778.18</v>
      </c>
      <c r="C65">
        <v>706.23</v>
      </c>
      <c r="D65">
        <v>557.97</v>
      </c>
      <c r="E65">
        <v>588.1</v>
      </c>
      <c r="F65">
        <v>690.86</v>
      </c>
      <c r="G65">
        <v>926.57</v>
      </c>
      <c r="H65">
        <v>1230.1500000000001</v>
      </c>
      <c r="I65">
        <v>1074.6400000000001</v>
      </c>
      <c r="J65">
        <v>1650.87</v>
      </c>
      <c r="K65">
        <v>2342.9899999999998</v>
      </c>
    </row>
    <row r="66" spans="1:11" s="1" customFormat="1" x14ac:dyDescent="0.3">
      <c r="A66" s="1" t="s">
        <v>12</v>
      </c>
      <c r="B66">
        <v>1936.21</v>
      </c>
      <c r="C66">
        <v>2206.54</v>
      </c>
      <c r="D66">
        <v>2156.59</v>
      </c>
      <c r="E66">
        <v>2222.25</v>
      </c>
      <c r="F66">
        <v>2335.86</v>
      </c>
      <c r="G66">
        <v>2558.7600000000002</v>
      </c>
      <c r="H66">
        <v>5506.68</v>
      </c>
      <c r="I66">
        <v>5723.73</v>
      </c>
      <c r="J66">
        <v>7726.02</v>
      </c>
      <c r="K66">
        <v>8081.53</v>
      </c>
    </row>
    <row r="67" spans="1:11" s="4" customFormat="1" x14ac:dyDescent="0.3">
      <c r="A67" s="4" t="s">
        <v>42</v>
      </c>
      <c r="B67">
        <v>17.61</v>
      </c>
      <c r="C67">
        <v>17.690000000000001</v>
      </c>
      <c r="D67">
        <v>12.99</v>
      </c>
      <c r="E67">
        <v>5.92</v>
      </c>
      <c r="F67">
        <v>15.1</v>
      </c>
      <c r="G67">
        <v>16.54</v>
      </c>
      <c r="H67">
        <v>17.12</v>
      </c>
      <c r="I67">
        <v>20.77</v>
      </c>
      <c r="J67">
        <v>18.260000000000002</v>
      </c>
      <c r="K67">
        <v>34.39</v>
      </c>
    </row>
    <row r="68" spans="1:11" x14ac:dyDescent="0.3">
      <c r="A68" s="4" t="s">
        <v>29</v>
      </c>
      <c r="B68">
        <v>356.46</v>
      </c>
      <c r="C68">
        <v>329.85</v>
      </c>
      <c r="D68">
        <v>279.19</v>
      </c>
      <c r="E68">
        <v>305.36</v>
      </c>
      <c r="F68">
        <v>344.77</v>
      </c>
      <c r="G68">
        <v>497.01</v>
      </c>
      <c r="H68">
        <v>607.80999999999995</v>
      </c>
      <c r="I68">
        <v>428.39</v>
      </c>
      <c r="J68">
        <v>867.78</v>
      </c>
      <c r="K68">
        <v>1361.16</v>
      </c>
    </row>
    <row r="69" spans="1:11" x14ac:dyDescent="0.3">
      <c r="A69" s="3" t="s">
        <v>51</v>
      </c>
      <c r="B69">
        <v>61.93</v>
      </c>
      <c r="C69">
        <v>55.5</v>
      </c>
      <c r="D69">
        <v>26.9</v>
      </c>
      <c r="E69">
        <v>34.28</v>
      </c>
      <c r="F69">
        <v>32.81</v>
      </c>
      <c r="G69">
        <v>54.23</v>
      </c>
      <c r="H69">
        <v>61.41</v>
      </c>
      <c r="I69">
        <v>81.47</v>
      </c>
      <c r="J69">
        <v>85.97</v>
      </c>
      <c r="K69">
        <v>86.3</v>
      </c>
    </row>
    <row r="70" spans="1:11" x14ac:dyDescent="0.3">
      <c r="A70" s="3" t="s">
        <v>38</v>
      </c>
      <c r="B70">
        <v>33231500</v>
      </c>
      <c r="C70">
        <v>33231544</v>
      </c>
      <c r="D70">
        <v>33231673</v>
      </c>
      <c r="E70">
        <v>332316730</v>
      </c>
      <c r="F70">
        <v>332316730</v>
      </c>
      <c r="G70">
        <v>332316730</v>
      </c>
      <c r="H70">
        <v>355487461</v>
      </c>
      <c r="I70">
        <v>355487461</v>
      </c>
      <c r="J70">
        <v>355487461</v>
      </c>
      <c r="K70">
        <v>355487461</v>
      </c>
    </row>
    <row r="71" spans="1:11" x14ac:dyDescent="0.3">
      <c r="A71" s="3" t="s">
        <v>39</v>
      </c>
    </row>
    <row r="72" spans="1:11" x14ac:dyDescent="0.3">
      <c r="A72" s="3" t="s">
        <v>52</v>
      </c>
      <c r="B72">
        <v>10</v>
      </c>
      <c r="C72">
        <v>10</v>
      </c>
      <c r="D72">
        <v>10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4" spans="1:11" x14ac:dyDescent="0.3">
      <c r="A74" s="4"/>
    </row>
    <row r="75" spans="1:11" x14ac:dyDescent="0.3">
      <c r="A75" s="4"/>
    </row>
    <row r="76" spans="1:11" x14ac:dyDescent="0.3">
      <c r="A76" s="4"/>
    </row>
    <row r="77" spans="1:11" x14ac:dyDescent="0.3">
      <c r="A77" s="4"/>
    </row>
    <row r="78" spans="1:11" x14ac:dyDescent="0.3">
      <c r="A78" s="4"/>
    </row>
    <row r="79" spans="1:11" x14ac:dyDescent="0.3">
      <c r="A79" s="4"/>
    </row>
    <row r="80" spans="1:11" x14ac:dyDescent="0.3">
      <c r="A80" s="1" t="s">
        <v>26</v>
      </c>
    </row>
    <row r="81" spans="1:11" s="7" customFormat="1" x14ac:dyDescent="0.3">
      <c r="A81" s="6" t="s">
        <v>23</v>
      </c>
      <c r="B81" s="5">
        <v>41729</v>
      </c>
      <c r="C81" s="5">
        <v>42094</v>
      </c>
      <c r="D81" s="5">
        <v>42460</v>
      </c>
      <c r="E81" s="5">
        <v>42825</v>
      </c>
      <c r="F81" s="5">
        <v>43190</v>
      </c>
      <c r="G81" s="5">
        <v>43555</v>
      </c>
      <c r="H81" s="5">
        <v>43921</v>
      </c>
      <c r="I81" s="5">
        <v>44286</v>
      </c>
      <c r="J81" s="5">
        <v>44651</v>
      </c>
      <c r="K81" s="5">
        <v>45016</v>
      </c>
    </row>
    <row r="82" spans="1:11" s="1" customFormat="1" x14ac:dyDescent="0.3">
      <c r="A82" s="4" t="s">
        <v>17</v>
      </c>
      <c r="B82">
        <v>-45.63</v>
      </c>
      <c r="C82">
        <v>-10.1</v>
      </c>
      <c r="D82">
        <v>109.42</v>
      </c>
      <c r="E82">
        <v>102.44</v>
      </c>
      <c r="F82">
        <v>76.86</v>
      </c>
      <c r="G82">
        <v>20.98</v>
      </c>
      <c r="H82">
        <v>361.16</v>
      </c>
      <c r="I82">
        <v>285.02999999999997</v>
      </c>
      <c r="J82">
        <v>58.08</v>
      </c>
      <c r="K82">
        <v>594.88</v>
      </c>
    </row>
    <row r="83" spans="1:11" s="4" customFormat="1" x14ac:dyDescent="0.3">
      <c r="A83" s="4" t="s">
        <v>18</v>
      </c>
      <c r="B83">
        <v>-48.47</v>
      </c>
      <c r="C83">
        <v>-306.2</v>
      </c>
      <c r="D83">
        <v>-98.4</v>
      </c>
      <c r="E83">
        <v>-43.7</v>
      </c>
      <c r="F83">
        <v>-4.0199999999999996</v>
      </c>
      <c r="G83">
        <v>-37.03</v>
      </c>
      <c r="H83">
        <v>-808.56</v>
      </c>
      <c r="I83">
        <v>17.71</v>
      </c>
      <c r="J83">
        <v>56.03</v>
      </c>
      <c r="K83">
        <v>-102.63</v>
      </c>
    </row>
    <row r="84" spans="1:11" s="4" customFormat="1" x14ac:dyDescent="0.3">
      <c r="A84" s="4" t="s">
        <v>19</v>
      </c>
      <c r="B84">
        <v>-50.48</v>
      </c>
      <c r="C84">
        <v>309.87</v>
      </c>
      <c r="D84">
        <v>-13.33</v>
      </c>
      <c r="E84">
        <v>-51.36</v>
      </c>
      <c r="F84">
        <v>-74.31</v>
      </c>
      <c r="G84">
        <v>37.47</v>
      </c>
      <c r="H84">
        <v>451.94</v>
      </c>
      <c r="I84">
        <v>-283.11</v>
      </c>
      <c r="J84">
        <v>-107.98</v>
      </c>
      <c r="K84">
        <v>-491.41</v>
      </c>
    </row>
    <row r="85" spans="1:11" s="1" customFormat="1" x14ac:dyDescent="0.3">
      <c r="A85" s="4" t="s">
        <v>20</v>
      </c>
      <c r="B85">
        <v>-144.58000000000001</v>
      </c>
      <c r="C85">
        <v>-6.43</v>
      </c>
      <c r="D85">
        <v>-2.31</v>
      </c>
      <c r="E85">
        <v>7.38</v>
      </c>
      <c r="F85">
        <v>-1.47</v>
      </c>
      <c r="G85">
        <v>21.42</v>
      </c>
      <c r="H85">
        <v>4.54</v>
      </c>
      <c r="I85">
        <v>19.63</v>
      </c>
      <c r="J85">
        <v>6.13</v>
      </c>
      <c r="K85">
        <v>0.84</v>
      </c>
    </row>
    <row r="86" spans="1:11" x14ac:dyDescent="0.3">
      <c r="A86" s="4"/>
    </row>
    <row r="87" spans="1:11" x14ac:dyDescent="0.3">
      <c r="A87" s="4"/>
    </row>
    <row r="88" spans="1:11" x14ac:dyDescent="0.3">
      <c r="A88" s="4"/>
    </row>
    <row r="89" spans="1:11" x14ac:dyDescent="0.3">
      <c r="A89" s="4"/>
    </row>
    <row r="90" spans="1:11" s="1" customFormat="1" x14ac:dyDescent="0.3">
      <c r="A90" s="1" t="s">
        <v>41</v>
      </c>
      <c r="B90">
        <v>102.83</v>
      </c>
      <c r="C90">
        <v>146.97999999999999</v>
      </c>
      <c r="D90">
        <v>159.18</v>
      </c>
      <c r="E90">
        <v>266.7</v>
      </c>
      <c r="F90">
        <v>345.05</v>
      </c>
      <c r="G90">
        <v>361.9</v>
      </c>
      <c r="H90">
        <v>484.35</v>
      </c>
      <c r="I90">
        <v>751.05</v>
      </c>
      <c r="J90">
        <v>1275.5</v>
      </c>
      <c r="K90">
        <v>1374.95</v>
      </c>
    </row>
    <row r="92" spans="1:11" s="1" customFormat="1" x14ac:dyDescent="0.3">
      <c r="A92" s="1" t="s">
        <v>40</v>
      </c>
    </row>
    <row r="93" spans="1:11" x14ac:dyDescent="0.3">
      <c r="A93" s="3" t="s">
        <v>53</v>
      </c>
      <c r="B93" s="9">
        <v>33.229999999999997</v>
      </c>
      <c r="C93" s="9">
        <v>33.229999999999997</v>
      </c>
      <c r="D93" s="9">
        <v>33.229999999999997</v>
      </c>
      <c r="E93" s="9">
        <v>33.229999999999997</v>
      </c>
      <c r="F93" s="9">
        <v>33.229999999999997</v>
      </c>
      <c r="G93" s="9">
        <v>33.229999999999997</v>
      </c>
      <c r="H93" s="9">
        <v>35.549999999999997</v>
      </c>
      <c r="I93" s="9">
        <v>35.549999999999997</v>
      </c>
      <c r="J93" s="9">
        <v>35.549999999999997</v>
      </c>
      <c r="K93" s="9">
        <v>35.549999999999997</v>
      </c>
    </row>
  </sheetData>
  <sheetProtection sheet="1" objects="1" scenarios="1"/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8D4A-2993-4F9B-B47C-4C9669C8D086}">
  <dimension ref="B2:L36"/>
  <sheetViews>
    <sheetView topLeftCell="A10" workbookViewId="0">
      <selection activeCell="C24" sqref="C24"/>
    </sheetView>
  </sheetViews>
  <sheetFormatPr defaultRowHeight="14.4" x14ac:dyDescent="0.3"/>
  <cols>
    <col min="2" max="2" width="25.77734375" bestFit="1" customWidth="1"/>
    <col min="3" max="10" width="10.77734375" customWidth="1"/>
  </cols>
  <sheetData>
    <row r="2" spans="2:12" x14ac:dyDescent="0.3">
      <c r="C2" s="10">
        <v>41699</v>
      </c>
      <c r="D2" s="10">
        <v>42064</v>
      </c>
      <c r="E2" s="10">
        <v>42430</v>
      </c>
      <c r="F2" s="10">
        <v>42795</v>
      </c>
      <c r="G2" s="10">
        <v>43160</v>
      </c>
      <c r="H2" s="10">
        <v>43525</v>
      </c>
      <c r="I2" s="10">
        <v>43891</v>
      </c>
      <c r="J2" s="10">
        <v>44256</v>
      </c>
      <c r="K2" s="10">
        <v>44621</v>
      </c>
      <c r="L2" s="10">
        <v>44986</v>
      </c>
    </row>
    <row r="3" spans="2:12" x14ac:dyDescent="0.3">
      <c r="B3" s="2" t="s">
        <v>88</v>
      </c>
      <c r="C3" s="23">
        <v>-46</v>
      </c>
      <c r="D3" s="23">
        <v>-10</v>
      </c>
      <c r="E3" s="23">
        <v>109</v>
      </c>
      <c r="F3" s="23">
        <v>102</v>
      </c>
      <c r="G3" s="23">
        <v>77</v>
      </c>
      <c r="H3" s="23">
        <v>21</v>
      </c>
      <c r="I3" s="23">
        <v>361</v>
      </c>
      <c r="J3" s="23">
        <v>285</v>
      </c>
      <c r="K3">
        <v>58</v>
      </c>
      <c r="L3">
        <v>595</v>
      </c>
    </row>
    <row r="4" spans="2:12" x14ac:dyDescent="0.3">
      <c r="B4" t="s">
        <v>89</v>
      </c>
      <c r="C4" s="21">
        <v>32</v>
      </c>
      <c r="D4" s="21">
        <v>65</v>
      </c>
      <c r="E4" s="21">
        <v>98</v>
      </c>
      <c r="F4" s="21">
        <v>165</v>
      </c>
      <c r="G4" s="21">
        <v>191</v>
      </c>
      <c r="H4" s="21">
        <v>233</v>
      </c>
      <c r="I4" s="21">
        <v>542</v>
      </c>
      <c r="J4" s="21">
        <v>180</v>
      </c>
      <c r="K4">
        <v>569</v>
      </c>
      <c r="L4" s="21">
        <v>1079</v>
      </c>
    </row>
    <row r="5" spans="2:12" x14ac:dyDescent="0.3">
      <c r="B5" t="s">
        <v>42</v>
      </c>
      <c r="C5" s="21">
        <v>-8</v>
      </c>
      <c r="D5" s="21">
        <v>-19</v>
      </c>
      <c r="E5" s="21">
        <v>-1</v>
      </c>
      <c r="F5" s="21">
        <v>24</v>
      </c>
      <c r="G5" s="21">
        <v>-54</v>
      </c>
      <c r="H5" s="21">
        <v>-11</v>
      </c>
      <c r="I5">
        <v>-20</v>
      </c>
      <c r="J5" s="21">
        <v>-39</v>
      </c>
      <c r="K5">
        <v>-103</v>
      </c>
      <c r="L5">
        <v>-101</v>
      </c>
    </row>
    <row r="6" spans="2:12" x14ac:dyDescent="0.3">
      <c r="B6" t="s">
        <v>29</v>
      </c>
      <c r="C6" s="21">
        <v>-25</v>
      </c>
      <c r="D6" s="21">
        <v>-3</v>
      </c>
      <c r="E6" s="21">
        <v>-19</v>
      </c>
      <c r="F6" s="21">
        <v>-26</v>
      </c>
      <c r="G6" s="21">
        <v>-39</v>
      </c>
      <c r="H6" s="21">
        <v>-152</v>
      </c>
      <c r="I6">
        <v>-89</v>
      </c>
      <c r="J6" s="21">
        <v>179</v>
      </c>
      <c r="K6">
        <v>-439</v>
      </c>
      <c r="L6">
        <v>-494</v>
      </c>
    </row>
    <row r="7" spans="2:12" x14ac:dyDescent="0.3">
      <c r="B7" t="s">
        <v>90</v>
      </c>
      <c r="C7" s="21">
        <v>-14</v>
      </c>
      <c r="D7" s="21">
        <v>-6</v>
      </c>
      <c r="E7" s="21">
        <v>27</v>
      </c>
      <c r="F7" s="21">
        <v>-9</v>
      </c>
      <c r="G7" s="21">
        <v>43</v>
      </c>
      <c r="H7" s="21">
        <v>49</v>
      </c>
      <c r="I7" s="21">
        <v>26</v>
      </c>
      <c r="J7" s="21">
        <v>-11</v>
      </c>
      <c r="K7">
        <v>134</v>
      </c>
      <c r="L7">
        <v>332</v>
      </c>
    </row>
    <row r="8" spans="2:12" x14ac:dyDescent="0.3">
      <c r="B8" t="s">
        <v>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2:12" x14ac:dyDescent="0.3">
      <c r="B9" t="s">
        <v>92</v>
      </c>
      <c r="C9" s="21">
        <v>-7</v>
      </c>
      <c r="D9" s="21">
        <v>-34</v>
      </c>
      <c r="E9">
        <v>24</v>
      </c>
      <c r="F9" s="21">
        <v>-12</v>
      </c>
      <c r="G9">
        <v>-13</v>
      </c>
      <c r="H9" s="21">
        <v>-21</v>
      </c>
      <c r="I9" s="21">
        <v>-15</v>
      </c>
      <c r="J9" s="21">
        <v>-23</v>
      </c>
      <c r="K9">
        <v>-22</v>
      </c>
      <c r="L9">
        <v>-30</v>
      </c>
    </row>
    <row r="10" spans="2:12" x14ac:dyDescent="0.3">
      <c r="B10" t="s">
        <v>93</v>
      </c>
      <c r="C10" s="21">
        <v>-54</v>
      </c>
      <c r="D10" s="21">
        <v>-61</v>
      </c>
      <c r="E10" s="21">
        <v>31</v>
      </c>
      <c r="F10" s="21">
        <v>-24</v>
      </c>
      <c r="G10" s="21">
        <v>-64</v>
      </c>
      <c r="H10">
        <v>-135</v>
      </c>
      <c r="I10" s="21">
        <v>-97</v>
      </c>
      <c r="J10" s="21">
        <v>106</v>
      </c>
      <c r="K10">
        <v>-430</v>
      </c>
      <c r="L10">
        <v>-293</v>
      </c>
    </row>
    <row r="11" spans="2:12" x14ac:dyDescent="0.3">
      <c r="B11" t="s">
        <v>156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>
        <v>0</v>
      </c>
      <c r="L11">
        <v>0</v>
      </c>
    </row>
    <row r="12" spans="2:12" x14ac:dyDescent="0.3">
      <c r="B12" t="s">
        <v>94</v>
      </c>
      <c r="C12" s="21">
        <v>-23</v>
      </c>
      <c r="D12" s="21">
        <v>-13</v>
      </c>
      <c r="E12" s="21">
        <v>-20</v>
      </c>
      <c r="F12" s="21">
        <v>-38</v>
      </c>
      <c r="G12" s="21">
        <v>-50</v>
      </c>
      <c r="H12" s="21">
        <v>-77</v>
      </c>
      <c r="I12" s="21">
        <v>-83</v>
      </c>
      <c r="J12" s="21">
        <v>-1</v>
      </c>
      <c r="K12">
        <v>-82</v>
      </c>
      <c r="L12">
        <v>-191</v>
      </c>
    </row>
    <row r="13" spans="2:12" x14ac:dyDescent="0.3">
      <c r="B13" t="s">
        <v>157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>
        <v>0</v>
      </c>
      <c r="L13">
        <v>0</v>
      </c>
    </row>
    <row r="14" spans="2:12" x14ac:dyDescent="0.3">
      <c r="C14" s="21"/>
      <c r="D14" s="21"/>
      <c r="E14" s="21"/>
      <c r="F14" s="21"/>
      <c r="G14" s="21"/>
      <c r="H14" s="21"/>
      <c r="I14" s="21"/>
      <c r="J14" s="21"/>
    </row>
    <row r="15" spans="2:12" s="2" customFormat="1" x14ac:dyDescent="0.3">
      <c r="B15" s="2" t="s">
        <v>95</v>
      </c>
      <c r="C15" s="2">
        <v>-48</v>
      </c>
      <c r="D15" s="2">
        <v>-306</v>
      </c>
      <c r="E15" s="2">
        <v>-98</v>
      </c>
      <c r="F15" s="2">
        <v>-44</v>
      </c>
      <c r="G15" s="2">
        <v>-4</v>
      </c>
      <c r="H15" s="2">
        <v>-37</v>
      </c>
      <c r="I15" s="2">
        <v>-809</v>
      </c>
      <c r="J15" s="2">
        <v>18</v>
      </c>
      <c r="K15" s="2">
        <v>56</v>
      </c>
      <c r="L15" s="2">
        <v>-103</v>
      </c>
    </row>
    <row r="16" spans="2:12" x14ac:dyDescent="0.3">
      <c r="B16" t="s">
        <v>96</v>
      </c>
      <c r="C16" s="21">
        <v>-136</v>
      </c>
      <c r="D16">
        <v>-158</v>
      </c>
      <c r="E16">
        <v>-139</v>
      </c>
      <c r="F16">
        <v>-71</v>
      </c>
      <c r="G16" s="21">
        <v>-107</v>
      </c>
      <c r="H16" s="21">
        <v>-203</v>
      </c>
      <c r="I16" s="21">
        <v>-156</v>
      </c>
      <c r="J16">
        <v>-113</v>
      </c>
      <c r="K16">
        <v>-271</v>
      </c>
      <c r="L16">
        <v>-503</v>
      </c>
    </row>
    <row r="17" spans="2:12" x14ac:dyDescent="0.3">
      <c r="B17" t="s">
        <v>97</v>
      </c>
      <c r="C17">
        <v>0</v>
      </c>
      <c r="D17" s="21">
        <v>2</v>
      </c>
      <c r="E17" s="21">
        <v>8</v>
      </c>
      <c r="F17" s="21">
        <v>2</v>
      </c>
      <c r="G17">
        <v>1</v>
      </c>
      <c r="H17">
        <v>7</v>
      </c>
      <c r="I17">
        <v>42</v>
      </c>
      <c r="J17" s="21">
        <v>22</v>
      </c>
      <c r="K17">
        <v>61</v>
      </c>
      <c r="L17">
        <v>280</v>
      </c>
    </row>
    <row r="18" spans="2:12" x14ac:dyDescent="0.3">
      <c r="B18" t="s">
        <v>98</v>
      </c>
      <c r="C18">
        <v>-856</v>
      </c>
      <c r="D18" s="21">
        <v>-2739</v>
      </c>
      <c r="E18" s="21">
        <v>-1007</v>
      </c>
      <c r="F18">
        <v>-937</v>
      </c>
      <c r="G18" s="21">
        <v>-972</v>
      </c>
      <c r="H18" s="21">
        <v>-1285</v>
      </c>
      <c r="I18" s="21">
        <v>-2895</v>
      </c>
      <c r="J18">
        <v>-591</v>
      </c>
      <c r="K18" s="21">
        <v>-1322</v>
      </c>
      <c r="L18" s="21">
        <v>-1610</v>
      </c>
    </row>
    <row r="19" spans="2:12" x14ac:dyDescent="0.3">
      <c r="B19" t="s">
        <v>99</v>
      </c>
      <c r="C19">
        <v>877</v>
      </c>
      <c r="D19" s="21">
        <v>2521</v>
      </c>
      <c r="E19" s="21">
        <v>989</v>
      </c>
      <c r="F19">
        <v>951</v>
      </c>
      <c r="G19" s="21">
        <v>1065</v>
      </c>
      <c r="H19" s="21">
        <v>1510</v>
      </c>
      <c r="I19" s="21">
        <v>2237</v>
      </c>
      <c r="J19">
        <v>731</v>
      </c>
      <c r="K19" s="21">
        <v>1530</v>
      </c>
      <c r="L19" s="21">
        <v>1616</v>
      </c>
    </row>
    <row r="20" spans="2:12" x14ac:dyDescent="0.3">
      <c r="B20" t="s">
        <v>100</v>
      </c>
      <c r="C20">
        <v>18</v>
      </c>
      <c r="D20">
        <v>22</v>
      </c>
      <c r="E20">
        <v>14</v>
      </c>
      <c r="F20">
        <v>17</v>
      </c>
      <c r="G20">
        <v>16</v>
      </c>
      <c r="H20">
        <v>16</v>
      </c>
      <c r="I20">
        <v>19</v>
      </c>
      <c r="J20">
        <v>21</v>
      </c>
      <c r="K20">
        <v>15</v>
      </c>
      <c r="L20">
        <v>8</v>
      </c>
    </row>
    <row r="21" spans="2:12" x14ac:dyDescent="0.3">
      <c r="B21" t="s">
        <v>101</v>
      </c>
      <c r="C21">
        <v>0</v>
      </c>
      <c r="D21">
        <v>0</v>
      </c>
      <c r="E21">
        <v>35</v>
      </c>
      <c r="F21">
        <v>2</v>
      </c>
      <c r="G21">
        <v>1</v>
      </c>
      <c r="H21">
        <v>2</v>
      </c>
      <c r="I21">
        <v>15</v>
      </c>
      <c r="J21">
        <v>5</v>
      </c>
      <c r="K21">
        <v>109</v>
      </c>
      <c r="L21">
        <v>148</v>
      </c>
    </row>
    <row r="22" spans="2:12" x14ac:dyDescent="0.3">
      <c r="B22" t="s">
        <v>102</v>
      </c>
      <c r="C22">
        <v>0</v>
      </c>
      <c r="D22">
        <v>0</v>
      </c>
      <c r="E22">
        <v>13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2:12" x14ac:dyDescent="0.3">
      <c r="B23" t="s">
        <v>103</v>
      </c>
      <c r="C23">
        <v>0</v>
      </c>
      <c r="D23">
        <v>0</v>
      </c>
      <c r="E23">
        <v>-11</v>
      </c>
      <c r="F23">
        <v>-8</v>
      </c>
      <c r="G23">
        <v>-7</v>
      </c>
      <c r="H23">
        <v>-85</v>
      </c>
      <c r="I23">
        <v>-22</v>
      </c>
      <c r="J23">
        <v>-45</v>
      </c>
      <c r="K23">
        <v>-66</v>
      </c>
      <c r="L23">
        <v>-52</v>
      </c>
    </row>
    <row r="24" spans="2:12" x14ac:dyDescent="0.3">
      <c r="B24" t="s">
        <v>104</v>
      </c>
      <c r="C24">
        <v>48</v>
      </c>
      <c r="D24">
        <v>45</v>
      </c>
      <c r="E24">
        <v>0</v>
      </c>
      <c r="F24">
        <v>0</v>
      </c>
      <c r="G24">
        <v>0</v>
      </c>
      <c r="H24">
        <v>0</v>
      </c>
      <c r="I24">
        <v>-49</v>
      </c>
      <c r="J24">
        <v>-12</v>
      </c>
      <c r="K24">
        <v>0</v>
      </c>
      <c r="L24">
        <v>10</v>
      </c>
    </row>
    <row r="26" spans="2:12" s="2" customFormat="1" x14ac:dyDescent="0.3">
      <c r="B26" s="2" t="s">
        <v>105</v>
      </c>
      <c r="C26" s="23">
        <v>-50</v>
      </c>
      <c r="D26" s="23">
        <v>310</v>
      </c>
      <c r="E26" s="23">
        <v>-13</v>
      </c>
      <c r="F26" s="23">
        <v>-51</v>
      </c>
      <c r="G26" s="23">
        <v>-74</v>
      </c>
      <c r="H26" s="23">
        <v>37</v>
      </c>
      <c r="I26" s="23">
        <v>452</v>
      </c>
      <c r="J26" s="23">
        <v>-283</v>
      </c>
      <c r="K26" s="2">
        <v>-108</v>
      </c>
      <c r="L26" s="2">
        <v>-491</v>
      </c>
    </row>
    <row r="27" spans="2:12" x14ac:dyDescent="0.3">
      <c r="B27" t="s">
        <v>106</v>
      </c>
      <c r="C27" s="21">
        <v>0</v>
      </c>
      <c r="D27" s="21">
        <v>0</v>
      </c>
      <c r="E27" s="21">
        <v>310</v>
      </c>
      <c r="F27" s="21">
        <v>100</v>
      </c>
      <c r="G27" s="21">
        <v>0</v>
      </c>
      <c r="H27" s="21">
        <v>0</v>
      </c>
      <c r="I27" s="21">
        <v>1032</v>
      </c>
      <c r="J27" s="21">
        <v>0</v>
      </c>
      <c r="K27">
        <v>551</v>
      </c>
      <c r="L27">
        <v>46</v>
      </c>
    </row>
    <row r="28" spans="2:12" x14ac:dyDescent="0.3">
      <c r="B28" t="s">
        <v>107</v>
      </c>
      <c r="C28" s="21">
        <v>0</v>
      </c>
      <c r="D28">
        <v>0</v>
      </c>
      <c r="E28">
        <v>4</v>
      </c>
      <c r="F28">
        <v>238</v>
      </c>
      <c r="G28" s="21">
        <v>382</v>
      </c>
      <c r="H28" s="21">
        <v>392</v>
      </c>
      <c r="I28">
        <v>93</v>
      </c>
      <c r="J28">
        <v>0</v>
      </c>
      <c r="K28">
        <v>0</v>
      </c>
      <c r="L28">
        <v>173</v>
      </c>
    </row>
    <row r="29" spans="2:12" x14ac:dyDescent="0.3">
      <c r="B29" t="s">
        <v>108</v>
      </c>
      <c r="C29">
        <v>-4</v>
      </c>
      <c r="D29">
        <v>-1</v>
      </c>
      <c r="E29">
        <v>0</v>
      </c>
      <c r="F29">
        <v>-48</v>
      </c>
      <c r="G29">
        <v>-282</v>
      </c>
      <c r="H29">
        <v>-286</v>
      </c>
      <c r="I29">
        <v>-186</v>
      </c>
      <c r="J29">
        <v>0</v>
      </c>
      <c r="K29">
        <v>-301</v>
      </c>
      <c r="L29">
        <v>-173</v>
      </c>
    </row>
    <row r="30" spans="2:12" x14ac:dyDescent="0.3">
      <c r="B30" t="s">
        <v>109</v>
      </c>
      <c r="C30" s="21">
        <v>-12</v>
      </c>
      <c r="D30" s="21">
        <v>-11</v>
      </c>
      <c r="E30" s="21">
        <v>-21</v>
      </c>
      <c r="F30" s="21">
        <v>-36</v>
      </c>
      <c r="G30" s="21">
        <v>-32</v>
      </c>
      <c r="H30" s="21">
        <v>-23</v>
      </c>
      <c r="I30" s="21">
        <v>-251</v>
      </c>
      <c r="J30" s="21">
        <v>-184</v>
      </c>
      <c r="K30">
        <v>-246</v>
      </c>
      <c r="L30">
        <v>-359</v>
      </c>
    </row>
    <row r="31" spans="2:12" x14ac:dyDescent="0.3">
      <c r="B31" t="s">
        <v>110</v>
      </c>
      <c r="C31" s="21">
        <v>-27</v>
      </c>
      <c r="D31" s="21">
        <v>-27</v>
      </c>
      <c r="E31" s="21">
        <v>-76</v>
      </c>
      <c r="F31" s="21">
        <v>-1</v>
      </c>
      <c r="G31" s="21">
        <v>-40</v>
      </c>
      <c r="H31" s="21">
        <v>-46</v>
      </c>
      <c r="I31" s="21">
        <v>-52</v>
      </c>
      <c r="J31" s="21">
        <v>-36</v>
      </c>
      <c r="K31">
        <v>-43</v>
      </c>
      <c r="L31">
        <v>-39</v>
      </c>
    </row>
    <row r="32" spans="2:12" x14ac:dyDescent="0.3">
      <c r="B32" t="s">
        <v>111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-84</v>
      </c>
      <c r="J32" s="21">
        <v>-63</v>
      </c>
      <c r="K32">
        <v>-69</v>
      </c>
      <c r="L32">
        <v>-140</v>
      </c>
    </row>
    <row r="33" spans="2:12" x14ac:dyDescent="0.3">
      <c r="B33" t="s">
        <v>158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2:12" x14ac:dyDescent="0.3">
      <c r="B34" t="s">
        <v>159</v>
      </c>
      <c r="C34">
        <v>0</v>
      </c>
      <c r="D34">
        <v>0</v>
      </c>
      <c r="E34">
        <v>0</v>
      </c>
      <c r="F34">
        <v>0</v>
      </c>
      <c r="G34" s="21">
        <v>0</v>
      </c>
      <c r="H34" s="21">
        <v>0</v>
      </c>
      <c r="I34" s="21">
        <v>0</v>
      </c>
      <c r="J34" s="21">
        <v>0</v>
      </c>
      <c r="K34">
        <v>0</v>
      </c>
      <c r="L34">
        <v>0</v>
      </c>
    </row>
    <row r="35" spans="2:12" x14ac:dyDescent="0.3">
      <c r="B35" t="s">
        <v>112</v>
      </c>
      <c r="C35">
        <v>-7</v>
      </c>
      <c r="D35">
        <v>349</v>
      </c>
      <c r="E35">
        <v>-230</v>
      </c>
      <c r="F35">
        <v>-303</v>
      </c>
      <c r="G35">
        <v>-102</v>
      </c>
      <c r="H35">
        <v>0</v>
      </c>
      <c r="I35" s="21">
        <v>-100</v>
      </c>
      <c r="J35" s="21">
        <v>0</v>
      </c>
      <c r="K35">
        <v>0</v>
      </c>
      <c r="L35">
        <v>0</v>
      </c>
    </row>
    <row r="36" spans="2:12" x14ac:dyDescent="0.3">
      <c r="B36" s="22" t="s">
        <v>20</v>
      </c>
      <c r="C36" s="24">
        <v>-145</v>
      </c>
      <c r="D36" s="24">
        <v>-6</v>
      </c>
      <c r="E36" s="22">
        <v>-2</v>
      </c>
      <c r="F36" s="24">
        <v>7</v>
      </c>
      <c r="G36" s="24">
        <v>-1</v>
      </c>
      <c r="H36" s="24">
        <v>21</v>
      </c>
      <c r="I36" s="24">
        <v>5</v>
      </c>
      <c r="J36" s="24">
        <v>20</v>
      </c>
      <c r="K36">
        <v>6</v>
      </c>
      <c r="L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Financials</vt:lpstr>
      <vt:lpstr>Historical FS</vt:lpstr>
      <vt:lpstr>Ratio Analysis</vt:lpstr>
      <vt:lpstr>Forecasting</vt:lpstr>
      <vt:lpstr>Peer Analysis</vt:lpstr>
      <vt:lpstr>Data</vt:lpstr>
      <vt:lpstr>Data Sheet</vt:lpstr>
      <vt:lpstr>Cash Flow Data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Aniruddha</cp:lastModifiedBy>
  <cp:lastPrinted>2012-12-06T18:14:13Z</cp:lastPrinted>
  <dcterms:created xsi:type="dcterms:W3CDTF">2012-08-17T09:55:37Z</dcterms:created>
  <dcterms:modified xsi:type="dcterms:W3CDTF">2023-07-22T07:36:12Z</dcterms:modified>
</cp:coreProperties>
</file>