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da59be80a1f807/Documents/Stocks/Tanla/"/>
    </mc:Choice>
  </mc:AlternateContent>
  <xr:revisionPtr revIDLastSave="1488" documentId="8_{5A3676D6-8ACE-4411-90CD-E996BE7A3D25}" xr6:coauthVersionLast="47" xr6:coauthVersionMax="47" xr10:uidLastSave="{4CB36B76-3246-4496-9EF6-5FA8D4FCDD36}"/>
  <bookViews>
    <workbookView xWindow="-98" yWindow="-98" windowWidth="21795" windowHeight="12975" xr2:uid="{00000000-000D-0000-FFFF-FFFF00000000}"/>
  </bookViews>
  <sheets>
    <sheet name="Valuation" sheetId="1" r:id="rId1"/>
    <sheet name="Sheet5" sheetId="8" r:id="rId2"/>
    <sheet name="Sensitivity Analysis" sheetId="7" r:id="rId3"/>
    <sheet name="ROIC Calculation" sheetId="3" r:id="rId4"/>
  </sheets>
  <definedNames>
    <definedName name="CIQWBGuid" hidden="1">"ebe8dcea-5694-44cb-8cc7-0c009ad0e60c"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45320.6743402778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8" i="1" l="1"/>
  <c r="E138" i="1"/>
  <c r="C138" i="1"/>
  <c r="F69" i="1"/>
  <c r="F12" i="1" s="1"/>
  <c r="F15" i="1" s="1"/>
  <c r="F65" i="1"/>
  <c r="G65" i="1" s="1"/>
  <c r="H65" i="1" s="1"/>
  <c r="I65" i="1" s="1"/>
  <c r="C75" i="1"/>
  <c r="D18" i="1"/>
  <c r="E18" i="1"/>
  <c r="C18" i="1"/>
  <c r="E74" i="1"/>
  <c r="D74" i="1"/>
  <c r="G4" i="3"/>
  <c r="G3" i="3"/>
  <c r="B2" i="3"/>
  <c r="B3" i="3"/>
  <c r="B4" i="3"/>
  <c r="F106" i="1"/>
  <c r="G106" i="1" s="1"/>
  <c r="H106" i="1" s="1"/>
  <c r="I106" i="1" s="1"/>
  <c r="J106" i="1" s="1"/>
  <c r="K68" i="1"/>
  <c r="L68" i="1" s="1"/>
  <c r="M68" i="1" s="1"/>
  <c r="N68" i="1" s="1"/>
  <c r="O68" i="1" s="1"/>
  <c r="F51" i="1"/>
  <c r="F47" i="1"/>
  <c r="F46" i="1"/>
  <c r="G129" i="1"/>
  <c r="H129" i="1"/>
  <c r="I129" i="1"/>
  <c r="J129" i="1"/>
  <c r="K129" i="1"/>
  <c r="F129" i="1"/>
  <c r="C92" i="1"/>
  <c r="D92" i="1"/>
  <c r="E92" i="1"/>
  <c r="E93" i="1" s="1"/>
  <c r="H37" i="1"/>
  <c r="G37" i="1"/>
  <c r="F37" i="1"/>
  <c r="D96" i="1"/>
  <c r="E38" i="1"/>
  <c r="D38" i="1"/>
  <c r="D36" i="1"/>
  <c r="E36" i="1"/>
  <c r="C36" i="1"/>
  <c r="C96" i="1"/>
  <c r="C38" i="1"/>
  <c r="D37" i="1"/>
  <c r="C37" i="1"/>
  <c r="C94" i="1" s="1"/>
  <c r="E37" i="1"/>
  <c r="D17" i="1"/>
  <c r="D79" i="1" s="1"/>
  <c r="E17" i="1"/>
  <c r="E79" i="1" s="1"/>
  <c r="C17" i="1"/>
  <c r="C79" i="1" s="1"/>
  <c r="E21" i="1"/>
  <c r="E22" i="1" s="1"/>
  <c r="E78" i="1" s="1"/>
  <c r="C21" i="1"/>
  <c r="C22" i="1" s="1"/>
  <c r="C78" i="1" s="1"/>
  <c r="D21" i="1"/>
  <c r="D77" i="1" s="1"/>
  <c r="K72" i="1"/>
  <c r="L72" i="1" s="1"/>
  <c r="M72" i="1" s="1"/>
  <c r="N72" i="1" s="1"/>
  <c r="O72" i="1" s="1"/>
  <c r="D13" i="1"/>
  <c r="E69" i="1"/>
  <c r="D69" i="1"/>
  <c r="E65" i="1"/>
  <c r="D65" i="1"/>
  <c r="C13" i="1"/>
  <c r="C70" i="1" s="1"/>
  <c r="C9" i="1"/>
  <c r="C66" i="1" s="1"/>
  <c r="E13" i="1"/>
  <c r="E70" i="1" s="1"/>
  <c r="E9" i="1"/>
  <c r="E66" i="1" s="1"/>
  <c r="D68" i="1"/>
  <c r="E68" i="1"/>
  <c r="D72" i="1"/>
  <c r="E72" i="1"/>
  <c r="C72" i="1"/>
  <c r="D9" i="1"/>
  <c r="D66" i="1" s="1"/>
  <c r="C104" i="1"/>
  <c r="C102" i="1"/>
  <c r="G69" i="1" l="1"/>
  <c r="H69" i="1" s="1"/>
  <c r="I69" i="1" s="1"/>
  <c r="J69" i="1" s="1"/>
  <c r="K69" i="1" s="1"/>
  <c r="L69" i="1" s="1"/>
  <c r="M69" i="1" s="1"/>
  <c r="N69" i="1" s="1"/>
  <c r="O69" i="1" s="1"/>
  <c r="F8" i="1"/>
  <c r="J65" i="1"/>
  <c r="I94" i="1"/>
  <c r="I37" i="1" s="1"/>
  <c r="G94" i="1"/>
  <c r="D94" i="1"/>
  <c r="F94" i="1"/>
  <c r="E94" i="1"/>
  <c r="C93" i="1"/>
  <c r="I116" i="1"/>
  <c r="E77" i="1"/>
  <c r="H116" i="1"/>
  <c r="G116" i="1"/>
  <c r="C85" i="1"/>
  <c r="E85" i="1"/>
  <c r="E96" i="1"/>
  <c r="D85" i="1"/>
  <c r="H94" i="1"/>
  <c r="D93" i="1"/>
  <c r="N116" i="1"/>
  <c r="L116" i="1"/>
  <c r="K116" i="1"/>
  <c r="F116" i="1"/>
  <c r="C77" i="1"/>
  <c r="O116" i="1"/>
  <c r="M116" i="1"/>
  <c r="J116" i="1"/>
  <c r="F41" i="1"/>
  <c r="G41" i="1"/>
  <c r="D22" i="1"/>
  <c r="D78" i="1" s="1"/>
  <c r="F13" i="1"/>
  <c r="F70" i="1" s="1"/>
  <c r="C68" i="1"/>
  <c r="I119" i="1"/>
  <c r="J119" i="1"/>
  <c r="K119" i="1"/>
  <c r="L119" i="1"/>
  <c r="M119" i="1"/>
  <c r="N119" i="1"/>
  <c r="O119" i="1"/>
  <c r="H119" i="1"/>
  <c r="H118" i="1"/>
  <c r="I118" i="1"/>
  <c r="J118" i="1"/>
  <c r="K118" i="1"/>
  <c r="L118" i="1"/>
  <c r="M118" i="1"/>
  <c r="N118" i="1"/>
  <c r="O118" i="1"/>
  <c r="G118" i="1"/>
  <c r="G117" i="1"/>
  <c r="H117" i="1"/>
  <c r="I117" i="1"/>
  <c r="J117" i="1"/>
  <c r="K117" i="1"/>
  <c r="L117" i="1"/>
  <c r="M117" i="1"/>
  <c r="N117" i="1"/>
  <c r="O117" i="1"/>
  <c r="F117" i="1"/>
  <c r="F38" i="1" l="1"/>
  <c r="G12" i="1"/>
  <c r="H12" i="1" s="1"/>
  <c r="G8" i="1"/>
  <c r="F11" i="1"/>
  <c r="F18" i="1" s="1"/>
  <c r="F17" i="1"/>
  <c r="F21" i="1" s="1"/>
  <c r="J94" i="1"/>
  <c r="J37" i="1" s="1"/>
  <c r="K65" i="1"/>
  <c r="H8" i="1" l="1"/>
  <c r="F138" i="1"/>
  <c r="F22" i="1"/>
  <c r="F29" i="1"/>
  <c r="F74" i="1"/>
  <c r="G15" i="1"/>
  <c r="H17" i="1"/>
  <c r="H22" i="1" s="1"/>
  <c r="H38" i="1"/>
  <c r="F9" i="1"/>
  <c r="F66" i="1" s="1"/>
  <c r="G17" i="1"/>
  <c r="G74" i="1" s="1"/>
  <c r="G38" i="1"/>
  <c r="H11" i="1"/>
  <c r="H9" i="1" s="1"/>
  <c r="H66" i="1" s="1"/>
  <c r="G11" i="1"/>
  <c r="G9" i="1" s="1"/>
  <c r="G66" i="1" s="1"/>
  <c r="L65" i="1"/>
  <c r="K94" i="1"/>
  <c r="K37" i="1" s="1"/>
  <c r="H15" i="1"/>
  <c r="I12" i="1"/>
  <c r="O120" i="1"/>
  <c r="K120" i="1"/>
  <c r="L120" i="1"/>
  <c r="J120" i="1"/>
  <c r="M120" i="1"/>
  <c r="N120" i="1"/>
  <c r="I120" i="1"/>
  <c r="G138" i="1" l="1"/>
  <c r="I8" i="1"/>
  <c r="H138" i="1"/>
  <c r="G18" i="1"/>
  <c r="G13" i="1"/>
  <c r="G70" i="1" s="1"/>
  <c r="G29" i="1"/>
  <c r="H21" i="1"/>
  <c r="H29" i="1"/>
  <c r="G21" i="1"/>
  <c r="G22" i="1"/>
  <c r="H18" i="1"/>
  <c r="H74" i="1"/>
  <c r="M65" i="1"/>
  <c r="L94" i="1"/>
  <c r="L37" i="1" s="1"/>
  <c r="I15" i="1"/>
  <c r="J12" i="1"/>
  <c r="H13" i="1"/>
  <c r="H70" i="1" s="1"/>
  <c r="L121" i="1"/>
  <c r="O121" i="1"/>
  <c r="J121" i="1"/>
  <c r="K121" i="1"/>
  <c r="M121" i="1"/>
  <c r="N121" i="1"/>
  <c r="I11" i="1" l="1"/>
  <c r="I18" i="1" s="1"/>
  <c r="J8" i="1"/>
  <c r="J17" i="1" s="1"/>
  <c r="I38" i="1"/>
  <c r="I9" i="1"/>
  <c r="I66" i="1" s="1"/>
  <c r="I17" i="1"/>
  <c r="N65" i="1"/>
  <c r="M94" i="1"/>
  <c r="M37" i="1" s="1"/>
  <c r="J15" i="1"/>
  <c r="K12" i="1"/>
  <c r="I13" i="1"/>
  <c r="I70" i="1" s="1"/>
  <c r="M122" i="1"/>
  <c r="N122" i="1"/>
  <c r="L122" i="1"/>
  <c r="O122" i="1"/>
  <c r="K122" i="1"/>
  <c r="J74" i="1" l="1"/>
  <c r="J21" i="1"/>
  <c r="J29" i="1"/>
  <c r="J22" i="1"/>
  <c r="I22" i="1"/>
  <c r="I29" i="1"/>
  <c r="I21" i="1"/>
  <c r="I74" i="1"/>
  <c r="K8" i="1"/>
  <c r="K17" i="1" s="1"/>
  <c r="J138" i="1"/>
  <c r="J38" i="1"/>
  <c r="J11" i="1"/>
  <c r="J18" i="1" s="1"/>
  <c r="J9" i="1"/>
  <c r="J66" i="1" s="1"/>
  <c r="K38" i="1"/>
  <c r="I138" i="1"/>
  <c r="O65" i="1"/>
  <c r="O94" i="1" s="1"/>
  <c r="N94" i="1"/>
  <c r="N37" i="1" s="1"/>
  <c r="K15" i="1"/>
  <c r="L12" i="1"/>
  <c r="J13" i="1"/>
  <c r="J70" i="1" s="1"/>
  <c r="L123" i="1"/>
  <c r="N123" i="1"/>
  <c r="O123" i="1"/>
  <c r="M123" i="1"/>
  <c r="K74" i="1" l="1"/>
  <c r="K21" i="1"/>
  <c r="K138" i="1"/>
  <c r="L8" i="1"/>
  <c r="K11" i="1"/>
  <c r="K9" i="1"/>
  <c r="K66" i="1" s="1"/>
  <c r="L38" i="1"/>
  <c r="L17" i="1"/>
  <c r="L74" i="1" s="1"/>
  <c r="K18" i="1"/>
  <c r="K29" i="1"/>
  <c r="K22" i="1"/>
  <c r="O37" i="1"/>
  <c r="L22" i="1"/>
  <c r="L29" i="1"/>
  <c r="L21" i="1"/>
  <c r="L15" i="1"/>
  <c r="M12" i="1"/>
  <c r="K13" i="1"/>
  <c r="K70" i="1" s="1"/>
  <c r="O124" i="1"/>
  <c r="N124" i="1"/>
  <c r="M124" i="1"/>
  <c r="L138" i="1" l="1"/>
  <c r="M8" i="1"/>
  <c r="L11" i="1"/>
  <c r="L18" i="1" s="1"/>
  <c r="L9" i="1"/>
  <c r="L66" i="1" s="1"/>
  <c r="M38" i="1"/>
  <c r="M15" i="1"/>
  <c r="N12" i="1"/>
  <c r="L13" i="1"/>
  <c r="L70" i="1" s="1"/>
  <c r="O126" i="1"/>
  <c r="N125" i="1"/>
  <c r="O125" i="1"/>
  <c r="N8" i="1" l="1"/>
  <c r="M11" i="1"/>
  <c r="M18" i="1" s="1"/>
  <c r="M9" i="1"/>
  <c r="M66" i="1" s="1"/>
  <c r="N38" i="1"/>
  <c r="M17" i="1"/>
  <c r="N15" i="1"/>
  <c r="O12" i="1"/>
  <c r="M13" i="1"/>
  <c r="M70" i="1" s="1"/>
  <c r="D131" i="1"/>
  <c r="E131" i="1"/>
  <c r="M74" i="1" l="1"/>
  <c r="M22" i="1"/>
  <c r="M29" i="1"/>
  <c r="M21" i="1"/>
  <c r="O8" i="1"/>
  <c r="N11" i="1"/>
  <c r="N18" i="1" s="1"/>
  <c r="N9" i="1"/>
  <c r="N66" i="1" s="1"/>
  <c r="M138" i="1"/>
  <c r="N17" i="1"/>
  <c r="E95" i="1"/>
  <c r="E129" i="1"/>
  <c r="D95" i="1"/>
  <c r="D129" i="1"/>
  <c r="O15" i="1"/>
  <c r="O17" i="1"/>
  <c r="O74" i="1" s="1"/>
  <c r="N13" i="1"/>
  <c r="N70" i="1" s="1"/>
  <c r="N74" i="1" l="1"/>
  <c r="N22" i="1"/>
  <c r="N29" i="1"/>
  <c r="N21" i="1"/>
  <c r="O38" i="1"/>
  <c r="O138" i="1"/>
  <c r="O11" i="1"/>
  <c r="O9" i="1"/>
  <c r="O66" i="1" s="1"/>
  <c r="N138" i="1"/>
  <c r="O13" i="1"/>
  <c r="O70" i="1" s="1"/>
  <c r="O18" i="1"/>
  <c r="O22" i="1"/>
  <c r="O29" i="1"/>
  <c r="O21" i="1"/>
  <c r="C25" i="1"/>
  <c r="C81" i="1" s="1"/>
  <c r="E25" i="1"/>
  <c r="E81" i="1" s="1"/>
  <c r="D25" i="1"/>
  <c r="D81" i="1" s="1"/>
  <c r="D6" i="1"/>
  <c r="H107" i="1"/>
  <c r="H41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C131" i="1"/>
  <c r="C95" i="1" s="1"/>
  <c r="D114" i="1"/>
  <c r="E114" i="1" s="1"/>
  <c r="F114" i="1" s="1"/>
  <c r="D27" i="1" l="1"/>
  <c r="D83" i="1" s="1"/>
  <c r="C27" i="1"/>
  <c r="C83" i="1" s="1"/>
  <c r="E27" i="1"/>
  <c r="E83" i="1" s="1"/>
  <c r="E6" i="1"/>
  <c r="G114" i="1"/>
  <c r="F128" i="1"/>
  <c r="F131" i="1" s="1"/>
  <c r="A117" i="1"/>
  <c r="I107" i="1"/>
  <c r="I41" i="1" s="1"/>
  <c r="F92" i="1" l="1"/>
  <c r="F36" i="1"/>
  <c r="F95" i="1"/>
  <c r="F23" i="1"/>
  <c r="F79" i="1" s="1"/>
  <c r="F6" i="1"/>
  <c r="G6" i="1" s="1"/>
  <c r="H6" i="1" s="1"/>
  <c r="I6" i="1" s="1"/>
  <c r="J6" i="1" s="1"/>
  <c r="K6" i="1" s="1"/>
  <c r="L6" i="1" s="1"/>
  <c r="M6" i="1" s="1"/>
  <c r="N6" i="1" s="1"/>
  <c r="O6" i="1" s="1"/>
  <c r="H114" i="1"/>
  <c r="G128" i="1"/>
  <c r="G131" i="1" s="1"/>
  <c r="A118" i="1"/>
  <c r="J107" i="1"/>
  <c r="J41" i="1" s="1"/>
  <c r="E31" i="1"/>
  <c r="D31" i="1"/>
  <c r="C31" i="1"/>
  <c r="C88" i="1" l="1"/>
  <c r="C87" i="1"/>
  <c r="D88" i="1"/>
  <c r="D87" i="1"/>
  <c r="E88" i="1"/>
  <c r="E87" i="1"/>
  <c r="G23" i="1"/>
  <c r="G79" i="1" s="1"/>
  <c r="G36" i="1"/>
  <c r="G95" i="1"/>
  <c r="G92" i="1"/>
  <c r="F93" i="1"/>
  <c r="E34" i="1"/>
  <c r="I114" i="1"/>
  <c r="H128" i="1"/>
  <c r="H131" i="1" s="1"/>
  <c r="A119" i="1"/>
  <c r="K107" i="1"/>
  <c r="K41" i="1" s="1"/>
  <c r="C34" i="1"/>
  <c r="C90" i="1" s="1"/>
  <c r="D34" i="1"/>
  <c r="J3" i="3" l="1"/>
  <c r="D90" i="1"/>
  <c r="H23" i="1"/>
  <c r="H79" i="1" s="1"/>
  <c r="H36" i="1"/>
  <c r="H95" i="1"/>
  <c r="J4" i="3"/>
  <c r="E90" i="1"/>
  <c r="H92" i="1"/>
  <c r="G93" i="1"/>
  <c r="E40" i="1"/>
  <c r="G25" i="1"/>
  <c r="G81" i="1" s="1"/>
  <c r="J114" i="1"/>
  <c r="I128" i="1"/>
  <c r="I131" i="1" s="1"/>
  <c r="A120" i="1"/>
  <c r="L107" i="1"/>
  <c r="L41" i="1" s="1"/>
  <c r="D40" i="1"/>
  <c r="C40" i="1"/>
  <c r="I23" i="1" l="1"/>
  <c r="I79" i="1" s="1"/>
  <c r="I36" i="1"/>
  <c r="I95" i="1"/>
  <c r="I92" i="1"/>
  <c r="H93" i="1"/>
  <c r="G27" i="1"/>
  <c r="H25" i="1"/>
  <c r="H81" i="1" s="1"/>
  <c r="K114" i="1"/>
  <c r="J128" i="1"/>
  <c r="J131" i="1" s="1"/>
  <c r="A121" i="1"/>
  <c r="M107" i="1"/>
  <c r="M41" i="1" s="1"/>
  <c r="J23" i="1" l="1"/>
  <c r="J79" i="1" s="1"/>
  <c r="J36" i="1"/>
  <c r="J95" i="1"/>
  <c r="J92" i="1"/>
  <c r="I93" i="1"/>
  <c r="G31" i="1"/>
  <c r="G83" i="1"/>
  <c r="H27" i="1"/>
  <c r="I25" i="1"/>
  <c r="I81" i="1" s="1"/>
  <c r="L114" i="1"/>
  <c r="K128" i="1"/>
  <c r="K131" i="1" s="1"/>
  <c r="A122" i="1"/>
  <c r="N107" i="1"/>
  <c r="N41" i="1" s="1"/>
  <c r="K23" i="1" l="1"/>
  <c r="K79" i="1" s="1"/>
  <c r="K36" i="1"/>
  <c r="K95" i="1"/>
  <c r="K92" i="1"/>
  <c r="J93" i="1"/>
  <c r="H31" i="1"/>
  <c r="H83" i="1"/>
  <c r="G32" i="1"/>
  <c r="G34" i="1" s="1"/>
  <c r="G87" i="1"/>
  <c r="I27" i="1"/>
  <c r="I83" i="1" s="1"/>
  <c r="J25" i="1"/>
  <c r="M114" i="1"/>
  <c r="L128" i="1"/>
  <c r="L131" i="1" s="1"/>
  <c r="A123" i="1"/>
  <c r="O107" i="1"/>
  <c r="O41" i="1" s="1"/>
  <c r="L36" i="1" l="1"/>
  <c r="L23" i="1"/>
  <c r="L79" i="1" s="1"/>
  <c r="L95" i="1"/>
  <c r="L92" i="1"/>
  <c r="K93" i="1"/>
  <c r="G90" i="1"/>
  <c r="G40" i="1"/>
  <c r="G43" i="1" s="1"/>
  <c r="H32" i="1"/>
  <c r="H34" i="1" s="1"/>
  <c r="H87" i="1"/>
  <c r="J27" i="1"/>
  <c r="J83" i="1" s="1"/>
  <c r="J81" i="1"/>
  <c r="I31" i="1"/>
  <c r="K25" i="1"/>
  <c r="K81" i="1" s="1"/>
  <c r="N114" i="1"/>
  <c r="M128" i="1"/>
  <c r="M131" i="1" s="1"/>
  <c r="A124" i="1"/>
  <c r="P107" i="1"/>
  <c r="P41" i="1" s="1"/>
  <c r="M23" i="1" l="1"/>
  <c r="M79" i="1" s="1"/>
  <c r="M36" i="1"/>
  <c r="M95" i="1"/>
  <c r="M92" i="1"/>
  <c r="L93" i="1"/>
  <c r="H90" i="1"/>
  <c r="H40" i="1"/>
  <c r="H43" i="1" s="1"/>
  <c r="I32" i="1"/>
  <c r="I34" i="1" s="1"/>
  <c r="I90" i="1" s="1"/>
  <c r="I87" i="1"/>
  <c r="K27" i="1"/>
  <c r="K83" i="1" s="1"/>
  <c r="L25" i="1"/>
  <c r="L81" i="1" s="1"/>
  <c r="J31" i="1"/>
  <c r="O114" i="1"/>
  <c r="N128" i="1"/>
  <c r="N131" i="1" s="1"/>
  <c r="A125" i="1"/>
  <c r="K31" i="1" l="1"/>
  <c r="K87" i="1" s="1"/>
  <c r="N23" i="1"/>
  <c r="N79" i="1" s="1"/>
  <c r="N36" i="1"/>
  <c r="N95" i="1"/>
  <c r="N92" i="1"/>
  <c r="M93" i="1"/>
  <c r="J32" i="1"/>
  <c r="J34" i="1" s="1"/>
  <c r="J90" i="1" s="1"/>
  <c r="J87" i="1"/>
  <c r="L27" i="1"/>
  <c r="L83" i="1" s="1"/>
  <c r="I40" i="1"/>
  <c r="I43" i="1" s="1"/>
  <c r="M25" i="1"/>
  <c r="M81" i="1" s="1"/>
  <c r="O128" i="1"/>
  <c r="O131" i="1" s="1"/>
  <c r="A126" i="1"/>
  <c r="K32" i="1" l="1"/>
  <c r="K34" i="1" s="1"/>
  <c r="K90" i="1" s="1"/>
  <c r="O23" i="1"/>
  <c r="O79" i="1" s="1"/>
  <c r="O36" i="1"/>
  <c r="O95" i="1"/>
  <c r="L31" i="1"/>
  <c r="L32" i="1" s="1"/>
  <c r="O92" i="1"/>
  <c r="O93" i="1" s="1"/>
  <c r="N93" i="1"/>
  <c r="M27" i="1"/>
  <c r="M83" i="1" s="1"/>
  <c r="N25" i="1"/>
  <c r="N81" i="1" s="1"/>
  <c r="J40" i="1"/>
  <c r="J43" i="1" s="1"/>
  <c r="L34" i="1" l="1"/>
  <c r="L90" i="1" s="1"/>
  <c r="L87" i="1"/>
  <c r="K40" i="1"/>
  <c r="K43" i="1" s="1"/>
  <c r="N27" i="1"/>
  <c r="N83" i="1" s="1"/>
  <c r="M31" i="1"/>
  <c r="O25" i="1"/>
  <c r="O81" i="1" s="1"/>
  <c r="L40" i="1" l="1"/>
  <c r="L43" i="1" s="1"/>
  <c r="M32" i="1"/>
  <c r="M34" i="1" s="1"/>
  <c r="M90" i="1" s="1"/>
  <c r="M87" i="1"/>
  <c r="O27" i="1"/>
  <c r="O83" i="1" s="1"/>
  <c r="N31" i="1"/>
  <c r="O31" i="1" l="1"/>
  <c r="O87" i="1" s="1"/>
  <c r="N32" i="1"/>
  <c r="N34" i="1" s="1"/>
  <c r="N87" i="1"/>
  <c r="M40" i="1"/>
  <c r="M43" i="1" s="1"/>
  <c r="O32" i="1" l="1"/>
  <c r="O34" i="1" s="1"/>
  <c r="O40" i="1" s="1"/>
  <c r="O43" i="1" s="1"/>
  <c r="N90" i="1"/>
  <c r="N40" i="1"/>
  <c r="N43" i="1" s="1"/>
  <c r="F25" i="1"/>
  <c r="O90" i="1" l="1"/>
  <c r="P40" i="1"/>
  <c r="P43" i="1" s="1"/>
  <c r="F27" i="1"/>
  <c r="F83" i="1" s="1"/>
  <c r="F81" i="1"/>
  <c r="F31" i="1" l="1"/>
  <c r="F32" i="1" s="1"/>
  <c r="F34" i="1" s="1"/>
  <c r="F90" i="1" s="1"/>
  <c r="F87" i="1" l="1"/>
  <c r="F40" i="1"/>
  <c r="F43" i="1" s="1"/>
  <c r="F45" i="1" s="1"/>
  <c r="C105" i="1" s="1"/>
  <c r="C106" i="1" s="1"/>
  <c r="J45" i="1" l="1"/>
  <c r="F50" i="1"/>
  <c r="F53" i="1" s="1"/>
  <c r="B15" i="7" s="1"/>
  <c r="I54" i="1" l="1"/>
  <c r="B4" i="7"/>
  <c r="D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Anirudh Kodali</author>
  </authors>
  <commentList>
    <comment ref="B13" authorId="0" shapeId="0" xr:uid="{5097D5F3-171A-4F84-96E6-4D830C254F40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Medical Consumables + Employees benefits expense
</t>
        </r>
      </text>
    </comment>
    <comment ref="D21" authorId="0" shapeId="0" xr:uid="{A9EC10E7-B811-445B-981D-116F5974418F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subtract eployee stock option from S&amp;M
</t>
        </r>
      </text>
    </comment>
    <comment ref="B22" authorId="0" shapeId="0" xr:uid="{5CFEE7C1-7FB3-4ECB-A541-EF93419FFFF1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Other Expense (Specilist + discounts + etc)
</t>
        </r>
      </text>
    </comment>
    <comment ref="F46" authorId="0" shapeId="0" xr:uid="{C2AC171C-9ADF-4AA7-B507-170878D7F705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lease liability as we added it in D&amp;A</t>
        </r>
      </text>
    </comment>
    <comment ref="A92" authorId="0" shapeId="0" xr:uid="{0D06AB30-3FFF-49BF-A22B-A0A0760F884A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PPE+Platforms+Technology+Intangible assets underdevelopment+Capital work in progress+
Right-of-use-lease assets</t>
        </r>
      </text>
    </comment>
    <comment ref="A112" authorId="0" shapeId="0" xr:uid="{1DDEB6F6-B4A3-4A21-A8BE-BEFA91B3B0CE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Straight line method </t>
        </r>
      </text>
    </comment>
    <comment ref="A128" authorId="0" shapeId="0" xr:uid="{C51976D4-E3D2-4B6B-A3C5-7F9A5B60F09E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this is D&amp;A in general excluding acquisition</t>
        </r>
      </text>
    </comment>
    <comment ref="A129" authorId="0" shapeId="0" xr:uid="{F0713937-73F2-478F-B695-94DE26018D69}">
      <text>
        <r>
          <rPr>
            <b/>
            <sz val="9"/>
            <color indexed="81"/>
            <rFont val="Tahoma"/>
            <family val="2"/>
          </rPr>
          <t>Anirudh Kodali:</t>
        </r>
        <r>
          <rPr>
            <sz val="9"/>
            <color indexed="81"/>
            <rFont val="Tahoma"/>
            <family val="2"/>
          </rPr>
          <t xml:space="preserve">
ValueFirst acquisition
</t>
        </r>
      </text>
    </comment>
  </commentList>
</comments>
</file>

<file path=xl/sharedStrings.xml><?xml version="1.0" encoding="utf-8"?>
<sst xmlns="http://schemas.openxmlformats.org/spreadsheetml/2006/main" count="410" uniqueCount="120">
  <si>
    <t>Discounted Cash Flow Analysis</t>
  </si>
  <si>
    <t>For the Years Ended March 31</t>
  </si>
  <si>
    <t>Terminal</t>
  </si>
  <si>
    <t>Value</t>
  </si>
  <si>
    <t>--------------</t>
  </si>
  <si>
    <t>Cost of Goods Sold</t>
  </si>
  <si>
    <t>Gross Margin</t>
  </si>
  <si>
    <t>Operating Expenses:</t>
  </si>
  <si>
    <t>Advertising &amp; Promotion</t>
  </si>
  <si>
    <t>General &amp; Administrative</t>
  </si>
  <si>
    <t>Depreciation &amp; Amortization</t>
  </si>
  <si>
    <t>Total Operating Expenses</t>
  </si>
  <si>
    <t>Operating Income</t>
  </si>
  <si>
    <t>Other Income/(Expense)</t>
  </si>
  <si>
    <t>Pretax Income</t>
  </si>
  <si>
    <t>Income Taxes</t>
  </si>
  <si>
    <t>Net Income</t>
  </si>
  <si>
    <t>+  Depreciation &amp; Amortization</t>
  </si>
  <si>
    <t>-   Capital Expenditures</t>
  </si>
  <si>
    <t>-   Working Capital Additions</t>
  </si>
  <si>
    <t>Free Cash Flow</t>
  </si>
  <si>
    <t>Present Value Factor</t>
  </si>
  <si>
    <t>PV Free Cash Flow</t>
  </si>
  <si>
    <t>Value of Firm</t>
  </si>
  <si>
    <t>Less:  Debt Outstanding</t>
  </si>
  <si>
    <t>Plus:  Cash</t>
  </si>
  <si>
    <t>Equity Value</t>
  </si>
  <si>
    <t>Shares Outstanding</t>
  </si>
  <si>
    <t>Value Per Share</t>
  </si>
  <si>
    <t>Net PP&amp;E</t>
  </si>
  <si>
    <t>Revenue/Net PP&amp;E</t>
  </si>
  <si>
    <t>Capital Expenditure Growth</t>
  </si>
  <si>
    <t>Depreciation/Revenue</t>
  </si>
  <si>
    <t>Working Capital/Revenue</t>
  </si>
  <si>
    <t>Discount Rate:</t>
  </si>
  <si>
    <t>Risk-Free Rate</t>
  </si>
  <si>
    <t>Risk Premium</t>
  </si>
  <si>
    <t>Beta</t>
  </si>
  <si>
    <t>K(e)</t>
  </si>
  <si>
    <t>K(d)</t>
  </si>
  <si>
    <t>Tax Rate</t>
  </si>
  <si>
    <t>Debt/Capital</t>
  </si>
  <si>
    <t>WACC</t>
  </si>
  <si>
    <t>Depreciation Schedule</t>
  </si>
  <si>
    <t>Total Depreciation Schedule</t>
  </si>
  <si>
    <t>Intangible Amortization</t>
  </si>
  <si>
    <t>Total Depreciation &amp; Amortization</t>
  </si>
  <si>
    <t>=========</t>
  </si>
  <si>
    <t>Plus:  PV of Goodwill Tax Shield</t>
  </si>
  <si>
    <t>========</t>
  </si>
  <si>
    <t>2024 Net PP&amp;E</t>
  </si>
  <si>
    <t>ROIC</t>
  </si>
  <si>
    <t xml:space="preserve">premium </t>
  </si>
  <si>
    <t>Crores of rupees</t>
  </si>
  <si>
    <t>-</t>
  </si>
  <si>
    <t>Terminal Growth</t>
  </si>
  <si>
    <t>Tanla Platforms</t>
  </si>
  <si>
    <t>Revenue from Digital Platforms</t>
  </si>
  <si>
    <t>Revenue from Enterprise Communications</t>
  </si>
  <si>
    <t>Digital Platforms Revenue Growth</t>
  </si>
  <si>
    <t xml:space="preserve">Enterprise Communications Revenue Growth </t>
  </si>
  <si>
    <t>Total Revenue</t>
  </si>
  <si>
    <t>Share Price (7/12/24)</t>
  </si>
  <si>
    <t>Terminal Value/ Total Value</t>
  </si>
  <si>
    <t>Invested Capital</t>
  </si>
  <si>
    <t>FY22</t>
  </si>
  <si>
    <t>FY23</t>
  </si>
  <si>
    <t>FY24</t>
  </si>
  <si>
    <t>Average IC during 2022-23</t>
  </si>
  <si>
    <t>Average IC during 2023-24</t>
  </si>
  <si>
    <t>Total Gross Margin</t>
  </si>
  <si>
    <t>Total Revenue growth</t>
  </si>
  <si>
    <t>Assumption</t>
  </si>
  <si>
    <t>Base Year</t>
  </si>
  <si>
    <t>Years 1-5</t>
  </si>
  <si>
    <t>Years 6-10</t>
  </si>
  <si>
    <t>After Year 10</t>
  </si>
  <si>
    <t>Link to Story</t>
  </si>
  <si>
    <t>Revenue Growth (Digital Platforms)</t>
  </si>
  <si>
    <t>₹369 crore</t>
  </si>
  <si>
    <t>24% CAGR</t>
  </si>
  <si>
    <t>High margin growth segment</t>
  </si>
  <si>
    <t>Revenue Growth (Enterprise Communications)</t>
  </si>
  <si>
    <t>₹3,559 crore</t>
  </si>
  <si>
    <t>17% CAGR</t>
  </si>
  <si>
    <t>Steady growth, lower margins</t>
  </si>
  <si>
    <t>Gross Margin (Digital Platforms)</t>
  </si>
  <si>
    <t>Gross Margin (Enterprise Communications)</t>
  </si>
  <si>
    <t>Sales &amp; Marketing Costs</t>
  </si>
  <si>
    <t>1%-1.5%</t>
  </si>
  <si>
    <t>Consistent marketing expenses</t>
  </si>
  <si>
    <t>G&amp;A Expenses</t>
  </si>
  <si>
    <t>5.5%-7%</t>
  </si>
  <si>
    <t>Historical consistency</t>
  </si>
  <si>
    <t>Effective Income Tax Rate</t>
  </si>
  <si>
    <t>Stable tax rate</t>
  </si>
  <si>
    <t>Capex</t>
  </si>
  <si>
    <t>Estimates from CapIQ</t>
  </si>
  <si>
    <t>Growth at the same rate as revenue</t>
  </si>
  <si>
    <t>Working Capital</t>
  </si>
  <si>
    <t>Stabilizes at 25%</t>
  </si>
  <si>
    <t>Cost of Capital</t>
  </si>
  <si>
    <t>11%-13%</t>
  </si>
  <si>
    <t>Aligns with external estimates</t>
  </si>
  <si>
    <t>Historical strong ROIC</t>
  </si>
  <si>
    <t>5% Terminal Growth</t>
  </si>
  <si>
    <t>Digital Platforms</t>
  </si>
  <si>
    <t>base revenue growth</t>
  </si>
  <si>
    <t>Value per share</t>
  </si>
  <si>
    <t>Revenue growth 1-5 years</t>
  </si>
  <si>
    <t>Enterprise Communications</t>
  </si>
  <si>
    <t>gradually decrease to 8%</t>
  </si>
  <si>
    <t>gradually decrease to 96%</t>
  </si>
  <si>
    <t>Benefit from scale initially</t>
  </si>
  <si>
    <t>slight improvement after valuefirst acquisition</t>
  </si>
  <si>
    <t>19.5%-20%</t>
  </si>
  <si>
    <t>gradually decrease to 15%</t>
  </si>
  <si>
    <t>Varies historically</t>
  </si>
  <si>
    <t>same as revenue growth</t>
  </si>
  <si>
    <t>Low capital intesive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</si>
</sst>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00"/>
    <numFmt numFmtId="167" formatCode="_([$INR]\ * #,##0.00_);_([$INR]\ * \(#,##0.00\);_([$INR]\ * &quot;-&quot;??_);_(@_)"/>
    <numFmt numFmtId="168" formatCode="0.0"/>
    <numFmt numFmtId="169" formatCode="0.000%"/>
    <numFmt numFmtId="170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43" fontId="2" fillId="0" borderId="0" xfId="1" applyFont="1"/>
    <xf numFmtId="164" fontId="2" fillId="0" borderId="0" xfId="1" applyNumberFormat="1" applyFont="1"/>
    <xf numFmtId="165" fontId="2" fillId="0" borderId="0" xfId="3" applyNumberFormat="1" applyFont="1"/>
    <xf numFmtId="164" fontId="2" fillId="0" borderId="0" xfId="1" quotePrefix="1" applyNumberFormat="1" applyFont="1" applyAlignment="1">
      <alignment horizontal="right"/>
    </xf>
    <xf numFmtId="166" fontId="2" fillId="0" borderId="0" xfId="0" applyNumberFormat="1" applyFont="1"/>
    <xf numFmtId="164" fontId="2" fillId="0" borderId="0" xfId="1" quotePrefix="1" applyNumberFormat="1" applyFont="1"/>
    <xf numFmtId="3" fontId="0" fillId="0" borderId="0" xfId="0" applyNumberFormat="1"/>
    <xf numFmtId="167" fontId="2" fillId="0" borderId="0" xfId="2" applyNumberFormat="1" applyFont="1"/>
    <xf numFmtId="10" fontId="0" fillId="0" borderId="0" xfId="0" applyNumberFormat="1"/>
    <xf numFmtId="10" fontId="2" fillId="0" borderId="0" xfId="1" applyNumberFormat="1" applyFont="1"/>
    <xf numFmtId="165" fontId="2" fillId="0" borderId="0" xfId="1" applyNumberFormat="1" applyFont="1"/>
    <xf numFmtId="168" fontId="0" fillId="0" borderId="0" xfId="0" applyNumberFormat="1"/>
    <xf numFmtId="168" fontId="2" fillId="0" borderId="0" xfId="1" applyNumberFormat="1" applyFont="1"/>
    <xf numFmtId="9" fontId="0" fillId="0" borderId="0" xfId="0" applyNumberFormat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10" fontId="2" fillId="0" borderId="0" xfId="3" applyNumberFormat="1" applyFont="1"/>
    <xf numFmtId="43" fontId="0" fillId="0" borderId="0" xfId="0" applyNumberFormat="1"/>
    <xf numFmtId="10" fontId="2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"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per share vs Digital Platforms' first</a:t>
            </a:r>
            <a:r>
              <a:rPr lang="en-US" baseline="0"/>
              <a:t> 5 years revenue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Analysis'!$A$5:$A$9</c:f>
              <c:numCache>
                <c:formatCode>0.00%</c:formatCode>
                <c:ptCount val="5"/>
                <c:pt idx="0" formatCode="0%">
                  <c:v>0.23</c:v>
                </c:pt>
                <c:pt idx="1">
                  <c:v>0.23499999999999999</c:v>
                </c:pt>
                <c:pt idx="2" formatCode="0%">
                  <c:v>0.24</c:v>
                </c:pt>
                <c:pt idx="3">
                  <c:v>0.245</c:v>
                </c:pt>
                <c:pt idx="4" formatCode="0%">
                  <c:v>0.25</c:v>
                </c:pt>
              </c:numCache>
            </c:numRef>
          </c:cat>
          <c:val>
            <c:numRef>
              <c:f>'Sensitivity Analysis'!$B$5:$B$9</c:f>
              <c:numCache>
                <c:formatCode>0.00</c:formatCode>
                <c:ptCount val="5"/>
                <c:pt idx="0">
                  <c:v>1155.8202580169398</c:v>
                </c:pt>
                <c:pt idx="1">
                  <c:v>1173.2351973563693</c:v>
                </c:pt>
                <c:pt idx="2">
                  <c:v>1191.0880320795843</c:v>
                </c:pt>
                <c:pt idx="3">
                  <c:v>1209.3881390645793</c:v>
                </c:pt>
                <c:pt idx="4">
                  <c:v>1228.1450624514025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1-45C7-ADD2-213D9B45E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112415"/>
        <c:axId val="1220110975"/>
      </c:barChart>
      <c:catAx>
        <c:axId val="122011241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110975"/>
        <c:crosses val="autoZero"/>
        <c:auto val="1"/>
        <c:lblAlgn val="ctr"/>
        <c:lblOffset val="100"/>
        <c:noMultiLvlLbl val="0"/>
      </c:catAx>
      <c:valAx>
        <c:axId val="12201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11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Value per share vs Enterprise Communications' first 5 years revenue growth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1877614739140623"/>
          <c:y val="1.9665689472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Analysis'!$A$16:$A$20</c:f>
              <c:numCache>
                <c:formatCode>0%</c:formatCode>
                <c:ptCount val="5"/>
                <c:pt idx="0">
                  <c:v>0.16</c:v>
                </c:pt>
                <c:pt idx="1">
                  <c:v>0.17</c:v>
                </c:pt>
                <c:pt idx="2">
                  <c:v>0.18</c:v>
                </c:pt>
                <c:pt idx="3">
                  <c:v>0.19</c:v>
                </c:pt>
                <c:pt idx="4">
                  <c:v>0.2</c:v>
                </c:pt>
              </c:numCache>
            </c:numRef>
          </c:cat>
          <c:val>
            <c:numRef>
              <c:f>'Sensitivity Analysis'!$B$16:$B$20</c:f>
              <c:numCache>
                <c:formatCode>0.00</c:formatCode>
                <c:ptCount val="5"/>
                <c:pt idx="0">
                  <c:v>1165.5863518048263</c:v>
                </c:pt>
                <c:pt idx="1">
                  <c:v>1191.0880320795843</c:v>
                </c:pt>
                <c:pt idx="2">
                  <c:v>1217.8131143894004</c:v>
                </c:pt>
                <c:pt idx="3">
                  <c:v>1245.813884746372</c:v>
                </c:pt>
                <c:pt idx="4">
                  <c:v>1275.1445278159372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9-41AE-A9AA-813CFFCDB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803983"/>
        <c:axId val="1494802543"/>
      </c:barChart>
      <c:catAx>
        <c:axId val="149480398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02543"/>
        <c:crosses val="autoZero"/>
        <c:auto val="1"/>
        <c:lblAlgn val="ctr"/>
        <c:lblOffset val="100"/>
        <c:noMultiLvlLbl val="0"/>
      </c:catAx>
      <c:valAx>
        <c:axId val="14948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0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159543</xdr:colOff>
      <xdr:row>9</xdr:row>
      <xdr:rowOff>161926</xdr:rowOff>
    </xdr:from>
    <xdr:to>
      <xdr:col>13</xdr:col>
      <xdr:colOff>371475</xdr:colOff>
      <xdr:row>27</xdr:row>
      <xdr:rowOff>128588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C842A8-D936-7026-60D8-421F139F5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9</xdr:row>
      <xdr:rowOff>176213</xdr:rowOff>
    </xdr:from>
    <xdr:to>
      <xdr:col>13</xdr:col>
      <xdr:colOff>357188</xdr:colOff>
      <xdr:row>27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40030-9BF9-9CEC-9CCB-1CCF14216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A260-7FB7-4041-A304-F60D9DE42C5A}" name="Table2" displayName="Table2" ref="A1:F12" totalsRowShown="0" headerRowDxfId="6" dataDxfId="5">
  <autoFilter ref="A1:F12" xr:uid="{F636A260-7FB7-4041-A304-F60D9DE42C5A}"/>
  <tableColumns count="6">
    <tableColumn id="1" xr3:uid="{0A411A5D-7851-4AD8-A187-C6C1D26BFE34}" name="Assumption" dataDxfId="4"/>
    <tableColumn id="2" xr3:uid="{C16B8D26-F075-4645-A752-01B4C0E527DC}" name="Base Year"/>
    <tableColumn id="3" xr3:uid="{0865C3A2-6B75-49EF-A45F-47C859388B2C}" name="Years 1-5" dataDxfId="3"/>
    <tableColumn id="4" xr3:uid="{83A15E00-BD5D-4FD3-B7DC-2C17BD829043}" name="Years 6-10" dataDxfId="2"/>
    <tableColumn id="5" xr3:uid="{FDD50039-DF03-4D1F-BEB7-942357135031}" name="After Year 10" dataDxfId="1"/>
    <tableColumn id="6" xr3:uid="{A9C7D0A9-3D64-49D7-8215-B0608A2F9F8A}" name="Link to St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457"/>
  <sheetViews>
    <sheetView showGridLines="0" tabSelected="1" zoomScaleNormal="100" workbookViewId="0">
      <selection activeCell="E138" sqref="E138:O138"/>
    </sheetView>
  </sheetViews>
  <sheetFormatPr defaultRowHeight="14.25" x14ac:dyDescent="0.45"/>
  <cols>
    <col min="1" max="1" width="6.3984375" customWidth="1"/>
    <col min="2" max="2" width="27.33203125" customWidth="1"/>
    <col min="3" max="5" width="10.73046875" customWidth="1"/>
    <col min="6" max="6" width="11.6640625" customWidth="1"/>
    <col min="7" max="104" width="10.73046875" customWidth="1"/>
  </cols>
  <sheetData>
    <row r="1" spans="1:110" ht="15.75" x14ac:dyDescent="0.5">
      <c r="A1" s="31" t="s">
        <v>56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x14ac:dyDescent="0.4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x14ac:dyDescent="0.4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x14ac:dyDescent="0.45">
      <c r="A4" s="30" t="s">
        <v>53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x14ac:dyDescent="0.45">
      <c r="A5" s="1"/>
      <c r="B5" s="1"/>
      <c r="C5" s="1"/>
      <c r="D5" s="1"/>
      <c r="E5" s="1"/>
      <c r="P5" s="2" t="s">
        <v>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x14ac:dyDescent="0.45">
      <c r="A6" s="1"/>
      <c r="B6" s="1"/>
      <c r="C6" s="1">
        <v>2022</v>
      </c>
      <c r="D6" s="1">
        <f t="shared" ref="D6:O6" si="0">+C6+1</f>
        <v>2023</v>
      </c>
      <c r="E6" s="1">
        <f t="shared" si="0"/>
        <v>2024</v>
      </c>
      <c r="F6" s="1">
        <f t="shared" si="0"/>
        <v>2025</v>
      </c>
      <c r="G6" s="1">
        <f t="shared" si="0"/>
        <v>2026</v>
      </c>
      <c r="H6" s="1">
        <f t="shared" si="0"/>
        <v>2027</v>
      </c>
      <c r="I6" s="1">
        <f t="shared" si="0"/>
        <v>2028</v>
      </c>
      <c r="J6" s="1">
        <f t="shared" si="0"/>
        <v>2029</v>
      </c>
      <c r="K6" s="1">
        <f t="shared" si="0"/>
        <v>2030</v>
      </c>
      <c r="L6" s="1">
        <f t="shared" si="0"/>
        <v>2031</v>
      </c>
      <c r="M6" s="1">
        <f t="shared" si="0"/>
        <v>2032</v>
      </c>
      <c r="N6" s="1">
        <f t="shared" si="0"/>
        <v>2033</v>
      </c>
      <c r="O6" s="1">
        <f t="shared" si="0"/>
        <v>2034</v>
      </c>
      <c r="P6" s="2" t="s">
        <v>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x14ac:dyDescent="0.45">
      <c r="A7" s="1"/>
      <c r="B7" s="1"/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  <c r="P7" s="4" t="s">
        <v>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x14ac:dyDescent="0.45">
      <c r="A8" s="1" t="s">
        <v>57</v>
      </c>
      <c r="B8" s="1"/>
      <c r="C8">
        <v>252</v>
      </c>
      <c r="D8">
        <v>303</v>
      </c>
      <c r="E8" s="16">
        <v>369</v>
      </c>
      <c r="F8" s="17">
        <f>E8*(1+F65)</f>
        <v>457.56</v>
      </c>
      <c r="G8" s="17">
        <f t="shared" ref="G8:O8" si="1">F8*(1+G65)</f>
        <v>567.37440000000004</v>
      </c>
      <c r="H8" s="17">
        <f t="shared" si="1"/>
        <v>703.54425600000002</v>
      </c>
      <c r="I8" s="17">
        <f t="shared" si="1"/>
        <v>872.39487744000007</v>
      </c>
      <c r="J8" s="17">
        <f t="shared" si="1"/>
        <v>1081.7696480256002</v>
      </c>
      <c r="K8" s="17">
        <f t="shared" si="1"/>
        <v>1306.777734814925</v>
      </c>
      <c r="L8" s="17">
        <f t="shared" si="1"/>
        <v>1536.7706161423516</v>
      </c>
      <c r="M8" s="17">
        <f t="shared" si="1"/>
        <v>1758.06558486685</v>
      </c>
      <c r="N8" s="17">
        <f t="shared" si="1"/>
        <v>1954.9689303719374</v>
      </c>
      <c r="O8" s="17">
        <f t="shared" si="1"/>
        <v>2111.3664448016925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</row>
    <row r="9" spans="1:110" x14ac:dyDescent="0.45">
      <c r="A9" s="1" t="s">
        <v>5</v>
      </c>
      <c r="B9" s="1"/>
      <c r="C9" s="16">
        <f>C8-C11</f>
        <v>16</v>
      </c>
      <c r="D9" s="16">
        <f>D8-D11</f>
        <v>12</v>
      </c>
      <c r="E9" s="16">
        <f>E8-E11</f>
        <v>9</v>
      </c>
      <c r="F9" s="17">
        <f>F8-F11</f>
        <v>9.1512000000000171</v>
      </c>
      <c r="G9" s="17">
        <f t="shared" ref="G9:O9" si="2">G8-G11</f>
        <v>11.347487999999998</v>
      </c>
      <c r="H9" s="17">
        <f t="shared" si="2"/>
        <v>14.070885119999957</v>
      </c>
      <c r="I9" s="17">
        <f t="shared" si="2"/>
        <v>17.447897548800029</v>
      </c>
      <c r="J9" s="17">
        <f t="shared" si="2"/>
        <v>21.635392960512036</v>
      </c>
      <c r="K9" s="17">
        <f t="shared" si="2"/>
        <v>31.362665635558187</v>
      </c>
      <c r="L9" s="17">
        <f t="shared" si="2"/>
        <v>43.029577251985984</v>
      </c>
      <c r="M9" s="17">
        <f t="shared" si="2"/>
        <v>56.258098715739152</v>
      </c>
      <c r="N9" s="17">
        <f t="shared" si="2"/>
        <v>70.378881493389827</v>
      </c>
      <c r="O9" s="17">
        <f t="shared" si="2"/>
        <v>84.454657792067792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</row>
    <row r="10" spans="1:110" x14ac:dyDescent="0.45">
      <c r="A10" s="1"/>
      <c r="B10" s="1"/>
      <c r="C10" s="4" t="s">
        <v>4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4" t="s">
        <v>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</row>
    <row r="11" spans="1:110" x14ac:dyDescent="0.45">
      <c r="A11" s="1" t="s">
        <v>6</v>
      </c>
      <c r="B11" s="1"/>
      <c r="C11" s="6">
        <v>236</v>
      </c>
      <c r="D11" s="16">
        <v>291</v>
      </c>
      <c r="E11" s="6">
        <v>360</v>
      </c>
      <c r="F11" s="6">
        <f>F8*F68</f>
        <v>448.40879999999999</v>
      </c>
      <c r="G11" s="6">
        <f t="shared" ref="G11:O11" si="3">G8*G68</f>
        <v>556.02691200000004</v>
      </c>
      <c r="H11" s="6">
        <f t="shared" si="3"/>
        <v>689.47337088000006</v>
      </c>
      <c r="I11" s="6">
        <f t="shared" si="3"/>
        <v>854.94697989120004</v>
      </c>
      <c r="J11" s="6">
        <f t="shared" si="3"/>
        <v>1060.1342550650882</v>
      </c>
      <c r="K11" s="6">
        <f t="shared" si="3"/>
        <v>1275.4150691793668</v>
      </c>
      <c r="L11" s="6">
        <f t="shared" si="3"/>
        <v>1493.7410388903656</v>
      </c>
      <c r="M11" s="6">
        <f t="shared" si="3"/>
        <v>1701.8074861511109</v>
      </c>
      <c r="N11" s="6">
        <f t="shared" si="3"/>
        <v>1884.5900488785476</v>
      </c>
      <c r="O11" s="6">
        <f t="shared" si="3"/>
        <v>2026.9117870096247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 spans="1:110" x14ac:dyDescent="0.45">
      <c r="A12" s="1" t="s">
        <v>58</v>
      </c>
      <c r="B12" s="1"/>
      <c r="C12" s="16">
        <v>2954</v>
      </c>
      <c r="D12" s="16">
        <v>3052</v>
      </c>
      <c r="E12" s="16">
        <v>3559</v>
      </c>
      <c r="F12" s="17">
        <f>E12*(1+F69)</f>
        <v>4164.03</v>
      </c>
      <c r="G12" s="17">
        <f t="shared" ref="G12:O12" si="4">F12*(1+G69)</f>
        <v>4871.9150999999993</v>
      </c>
      <c r="H12" s="17">
        <f t="shared" si="4"/>
        <v>5700.1406669999988</v>
      </c>
      <c r="I12" s="17">
        <f t="shared" si="4"/>
        <v>6669.1645803899983</v>
      </c>
      <c r="J12" s="17">
        <f t="shared" si="4"/>
        <v>7802.9225590562974</v>
      </c>
      <c r="K12" s="17">
        <f t="shared" si="4"/>
        <v>8988.9667880328561</v>
      </c>
      <c r="L12" s="17">
        <f t="shared" si="4"/>
        <v>10193.488337629258</v>
      </c>
      <c r="M12" s="17">
        <f t="shared" si="4"/>
        <v>11375.932984794254</v>
      </c>
      <c r="N12" s="17">
        <f t="shared" si="4"/>
        <v>12490.774417304092</v>
      </c>
      <c r="O12" s="17">
        <f t="shared" si="4"/>
        <v>13490.03637068842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</row>
    <row r="13" spans="1:110" x14ac:dyDescent="0.45">
      <c r="A13" s="1" t="s">
        <v>5</v>
      </c>
      <c r="B13" s="1"/>
      <c r="C13" s="17">
        <f>C12-C15</f>
        <v>2282</v>
      </c>
      <c r="D13" s="16">
        <f>D12-D15</f>
        <v>2506</v>
      </c>
      <c r="E13" s="16">
        <f>E12-E15</f>
        <v>2863</v>
      </c>
      <c r="F13" s="17">
        <f>F12-F15</f>
        <v>3352.0441499999997</v>
      </c>
      <c r="G13" s="17">
        <f t="shared" ref="G13:O13" si="5">G12-G15</f>
        <v>3921.8916554999996</v>
      </c>
      <c r="H13" s="17">
        <f t="shared" si="5"/>
        <v>4560.1125335999986</v>
      </c>
      <c r="I13" s="17">
        <f t="shared" si="5"/>
        <v>5335.3316643119988</v>
      </c>
      <c r="J13" s="17">
        <f t="shared" si="5"/>
        <v>6242.3380472450381</v>
      </c>
      <c r="K13" s="17">
        <f t="shared" si="5"/>
        <v>7281.063098306613</v>
      </c>
      <c r="L13" s="17">
        <f t="shared" si="5"/>
        <v>8358.6604368559911</v>
      </c>
      <c r="M13" s="17">
        <f t="shared" si="5"/>
        <v>9442.0243773792299</v>
      </c>
      <c r="N13" s="17">
        <f t="shared" si="5"/>
        <v>10492.250510535438</v>
      </c>
      <c r="O13" s="17">
        <f t="shared" si="5"/>
        <v>11466.530915085157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</row>
    <row r="14" spans="1:110" x14ac:dyDescent="0.45">
      <c r="A14" s="1"/>
      <c r="B14" s="1"/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O14" s="4" t="s">
        <v>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</row>
    <row r="15" spans="1:110" x14ac:dyDescent="0.45">
      <c r="A15" s="1" t="s">
        <v>6</v>
      </c>
      <c r="B15" s="1"/>
      <c r="C15" s="6">
        <v>672</v>
      </c>
      <c r="D15" s="6">
        <v>546</v>
      </c>
      <c r="E15" s="6">
        <v>696</v>
      </c>
      <c r="F15" s="6">
        <f>F12*F72</f>
        <v>811.98585000000003</v>
      </c>
      <c r="G15" s="6">
        <f t="shared" ref="G15:O15" si="6">G12*G72</f>
        <v>950.02344449999987</v>
      </c>
      <c r="H15" s="6">
        <f t="shared" si="6"/>
        <v>1140.0281333999999</v>
      </c>
      <c r="I15" s="6">
        <f t="shared" si="6"/>
        <v>1333.8329160779997</v>
      </c>
      <c r="J15" s="6">
        <f t="shared" si="6"/>
        <v>1560.5845118112595</v>
      </c>
      <c r="K15" s="6">
        <f t="shared" si="6"/>
        <v>1707.9036897262426</v>
      </c>
      <c r="L15" s="6">
        <f t="shared" si="6"/>
        <v>1834.8279007732665</v>
      </c>
      <c r="M15" s="6">
        <f t="shared" si="6"/>
        <v>1933.908607415023</v>
      </c>
      <c r="N15" s="6">
        <f t="shared" si="6"/>
        <v>1998.5239067686543</v>
      </c>
      <c r="O15" s="6">
        <f t="shared" si="6"/>
        <v>2023.5054556032626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</row>
    <row r="16" spans="1:110" x14ac:dyDescent="0.45">
      <c r="A16" s="1"/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</row>
    <row r="17" spans="1:110" x14ac:dyDescent="0.45">
      <c r="A17" s="1" t="s">
        <v>61</v>
      </c>
      <c r="B17" s="1"/>
      <c r="C17" s="6">
        <f>C8+C12</f>
        <v>3206</v>
      </c>
      <c r="D17" s="6">
        <f t="shared" ref="D17:O17" si="7">D8+D12</f>
        <v>3355</v>
      </c>
      <c r="E17" s="6">
        <f t="shared" si="7"/>
        <v>3928</v>
      </c>
      <c r="F17" s="6">
        <f t="shared" si="7"/>
        <v>4621.59</v>
      </c>
      <c r="G17" s="6">
        <f t="shared" si="7"/>
        <v>5439.289499999999</v>
      </c>
      <c r="H17" s="6">
        <f t="shared" si="7"/>
        <v>6403.6849229999989</v>
      </c>
      <c r="I17" s="6">
        <f t="shared" si="7"/>
        <v>7541.5594578299988</v>
      </c>
      <c r="J17" s="6">
        <f t="shared" si="7"/>
        <v>8884.6922070818982</v>
      </c>
      <c r="K17" s="6">
        <f t="shared" si="7"/>
        <v>10295.744522847781</v>
      </c>
      <c r="L17" s="6">
        <f t="shared" si="7"/>
        <v>11730.25895377161</v>
      </c>
      <c r="M17" s="6">
        <f t="shared" si="7"/>
        <v>13133.998569661104</v>
      </c>
      <c r="N17" s="6">
        <f t="shared" si="7"/>
        <v>14445.743347676029</v>
      </c>
      <c r="O17" s="6">
        <f t="shared" si="7"/>
        <v>15601.402815490113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</row>
    <row r="18" spans="1:110" x14ac:dyDescent="0.45">
      <c r="A18" s="1" t="s">
        <v>70</v>
      </c>
      <c r="B18" s="1"/>
      <c r="C18" s="6">
        <f>C11+C15</f>
        <v>908</v>
      </c>
      <c r="D18" s="6">
        <f t="shared" ref="D18:O18" si="8">D11+D15</f>
        <v>837</v>
      </c>
      <c r="E18" s="6">
        <f t="shared" si="8"/>
        <v>1056</v>
      </c>
      <c r="F18" s="6">
        <f t="shared" si="8"/>
        <v>1260.39465</v>
      </c>
      <c r="G18" s="6">
        <f t="shared" si="8"/>
        <v>1506.0503564999999</v>
      </c>
      <c r="H18" s="6">
        <f t="shared" si="8"/>
        <v>1829.5015042800001</v>
      </c>
      <c r="I18" s="6">
        <f t="shared" si="8"/>
        <v>2188.7798959692</v>
      </c>
      <c r="J18" s="6">
        <f t="shared" si="8"/>
        <v>2620.7187668763477</v>
      </c>
      <c r="K18" s="6">
        <f t="shared" si="8"/>
        <v>2983.3187589056097</v>
      </c>
      <c r="L18" s="6">
        <f t="shared" si="8"/>
        <v>3328.5689396636321</v>
      </c>
      <c r="M18" s="6">
        <f t="shared" si="8"/>
        <v>3635.7160935661341</v>
      </c>
      <c r="N18" s="6">
        <f t="shared" si="8"/>
        <v>3883.1139556472017</v>
      </c>
      <c r="O18" s="6">
        <f t="shared" si="8"/>
        <v>4050.4172426128871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</row>
    <row r="19" spans="1:110" x14ac:dyDescent="0.45">
      <c r="A19" s="1"/>
      <c r="B19" s="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</row>
    <row r="20" spans="1:110" x14ac:dyDescent="0.45">
      <c r="A20" s="1" t="s">
        <v>7</v>
      </c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</row>
    <row r="21" spans="1:110" x14ac:dyDescent="0.45">
      <c r="A21" s="1"/>
      <c r="B21" s="1" t="s">
        <v>8</v>
      </c>
      <c r="C21">
        <f>37-9</f>
        <v>28</v>
      </c>
      <c r="D21">
        <f>42-17</f>
        <v>25</v>
      </c>
      <c r="E21">
        <f>16+31+1+5</f>
        <v>53</v>
      </c>
      <c r="F21" s="6">
        <f>F17*F77</f>
        <v>69.323849999999993</v>
      </c>
      <c r="G21" s="6">
        <f t="shared" ref="G21:O21" si="9">G17*G77</f>
        <v>81.589342499999987</v>
      </c>
      <c r="H21" s="6">
        <f t="shared" si="9"/>
        <v>96.055273844999974</v>
      </c>
      <c r="I21" s="6">
        <f t="shared" si="9"/>
        <v>113.12339186744998</v>
      </c>
      <c r="J21" s="6">
        <f t="shared" si="9"/>
        <v>133.27038310622848</v>
      </c>
      <c r="K21" s="6">
        <f t="shared" si="9"/>
        <v>154.43616784271671</v>
      </c>
      <c r="L21" s="6">
        <f t="shared" si="9"/>
        <v>175.95388430657414</v>
      </c>
      <c r="M21" s="6">
        <f t="shared" si="9"/>
        <v>197.00997854491655</v>
      </c>
      <c r="N21" s="6">
        <f t="shared" si="9"/>
        <v>216.68615021514043</v>
      </c>
      <c r="O21" s="6">
        <f t="shared" si="9"/>
        <v>234.0210422323517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</row>
    <row r="22" spans="1:110" x14ac:dyDescent="0.45">
      <c r="A22" s="1"/>
      <c r="B22" s="1" t="s">
        <v>9</v>
      </c>
      <c r="C22" s="6">
        <f>208-C21</f>
        <v>180</v>
      </c>
      <c r="D22" s="6">
        <f>249-D21</f>
        <v>224</v>
      </c>
      <c r="E22" s="6">
        <f>324-E21</f>
        <v>271</v>
      </c>
      <c r="F22" s="6">
        <f>F17*F78</f>
        <v>346.61925000000002</v>
      </c>
      <c r="G22" s="6">
        <f t="shared" ref="G22:O22" si="10">G17*G78</f>
        <v>407.94671249999993</v>
      </c>
      <c r="H22" s="6">
        <f t="shared" si="10"/>
        <v>480.27636922499988</v>
      </c>
      <c r="I22" s="6">
        <f t="shared" si="10"/>
        <v>565.61695933724991</v>
      </c>
      <c r="J22" s="6">
        <f t="shared" si="10"/>
        <v>666.35191553114237</v>
      </c>
      <c r="K22" s="6">
        <f t="shared" si="10"/>
        <v>772.18083921358357</v>
      </c>
      <c r="L22" s="6">
        <f t="shared" si="10"/>
        <v>879.76942153287075</v>
      </c>
      <c r="M22" s="6">
        <f t="shared" si="10"/>
        <v>985.04989272458272</v>
      </c>
      <c r="N22" s="6">
        <f t="shared" si="10"/>
        <v>1083.4307510757021</v>
      </c>
      <c r="O22" s="6">
        <f t="shared" si="10"/>
        <v>1170.1052111617585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 spans="1:110" x14ac:dyDescent="0.45">
      <c r="A23" s="1"/>
      <c r="B23" s="1" t="s">
        <v>10</v>
      </c>
      <c r="C23" s="6">
        <v>41</v>
      </c>
      <c r="D23">
        <v>46</v>
      </c>
      <c r="E23" s="11">
        <v>85</v>
      </c>
      <c r="F23" s="6">
        <f>F131</f>
        <v>67.603333333333325</v>
      </c>
      <c r="G23" s="6">
        <f t="shared" ref="G23:O23" si="11">G131</f>
        <v>79.203333333333319</v>
      </c>
      <c r="H23" s="6">
        <f t="shared" si="11"/>
        <v>96.293333333333322</v>
      </c>
      <c r="I23" s="6">
        <f t="shared" si="11"/>
        <v>117.48493333333333</v>
      </c>
      <c r="J23" s="6">
        <f t="shared" si="11"/>
        <v>143.76251733333334</v>
      </c>
      <c r="K23" s="6">
        <f t="shared" si="11"/>
        <v>175.50583880533333</v>
      </c>
      <c r="L23" s="6">
        <f t="shared" si="11"/>
        <v>205.50265152307199</v>
      </c>
      <c r="M23" s="6">
        <f t="shared" si="11"/>
        <v>248.20833860549834</v>
      </c>
      <c r="N23" s="6">
        <f t="shared" si="11"/>
        <v>295.69706264115644</v>
      </c>
      <c r="O23" s="6">
        <f t="shared" si="11"/>
        <v>346.98488459966723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</row>
    <row r="24" spans="1:110" x14ac:dyDescent="0.45">
      <c r="A24" s="1"/>
      <c r="B24" s="1"/>
      <c r="C24" s="4" t="s">
        <v>4</v>
      </c>
      <c r="D24" s="4" t="s">
        <v>4</v>
      </c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O24" s="4" t="s">
        <v>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</row>
    <row r="25" spans="1:110" x14ac:dyDescent="0.45">
      <c r="A25" s="1"/>
      <c r="B25" s="1" t="s">
        <v>11</v>
      </c>
      <c r="C25" s="6">
        <f>SUM(C21:C24)</f>
        <v>249</v>
      </c>
      <c r="D25" s="6">
        <f>SUM(D21:D24)</f>
        <v>295</v>
      </c>
      <c r="E25" s="6">
        <f>SUM(E21:E24)</f>
        <v>409</v>
      </c>
      <c r="F25" s="6">
        <f t="shared" ref="F25:O25" si="12">SUM(F21:F24)</f>
        <v>483.54643333333331</v>
      </c>
      <c r="G25" s="6">
        <f t="shared" si="12"/>
        <v>568.73938833333318</v>
      </c>
      <c r="H25" s="6">
        <f t="shared" si="12"/>
        <v>672.62497640333311</v>
      </c>
      <c r="I25" s="6">
        <f t="shared" si="12"/>
        <v>796.22528453803318</v>
      </c>
      <c r="J25" s="6">
        <f t="shared" si="12"/>
        <v>943.38481597070415</v>
      </c>
      <c r="K25" s="6">
        <f t="shared" si="12"/>
        <v>1102.1228458616336</v>
      </c>
      <c r="L25" s="6">
        <f t="shared" si="12"/>
        <v>1261.225957362517</v>
      </c>
      <c r="M25" s="6">
        <f t="shared" si="12"/>
        <v>1430.2682098749976</v>
      </c>
      <c r="N25" s="6">
        <f t="shared" si="12"/>
        <v>1595.8139639319991</v>
      </c>
      <c r="O25" s="6">
        <f t="shared" si="12"/>
        <v>1751.1111379937774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</row>
    <row r="26" spans="1:110" x14ac:dyDescent="0.45">
      <c r="A26" s="1"/>
      <c r="B26" s="1"/>
      <c r="C26" s="4" t="s">
        <v>4</v>
      </c>
      <c r="D26" s="4" t="s">
        <v>4</v>
      </c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O26" s="4" t="s">
        <v>4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</row>
    <row r="27" spans="1:110" x14ac:dyDescent="0.45">
      <c r="A27" s="1"/>
      <c r="B27" s="1" t="s">
        <v>12</v>
      </c>
      <c r="C27" s="6">
        <f>C15+C11-C25</f>
        <v>659</v>
      </c>
      <c r="D27" s="6">
        <f t="shared" ref="D27:O27" si="13">D15+D11-D25</f>
        <v>542</v>
      </c>
      <c r="E27" s="6">
        <f t="shared" si="13"/>
        <v>647</v>
      </c>
      <c r="F27" s="6">
        <f t="shared" si="13"/>
        <v>776.84821666666664</v>
      </c>
      <c r="G27" s="6">
        <f t="shared" si="13"/>
        <v>937.31096816666673</v>
      </c>
      <c r="H27" s="6">
        <f t="shared" si="13"/>
        <v>1156.8765278766668</v>
      </c>
      <c r="I27" s="6">
        <f t="shared" si="13"/>
        <v>1392.5546114311669</v>
      </c>
      <c r="J27" s="6">
        <f t="shared" si="13"/>
        <v>1677.3339509056436</v>
      </c>
      <c r="K27" s="6">
        <f t="shared" si="13"/>
        <v>1881.1959130439761</v>
      </c>
      <c r="L27" s="6">
        <f t="shared" si="13"/>
        <v>2067.3429823011152</v>
      </c>
      <c r="M27" s="6">
        <f t="shared" si="13"/>
        <v>2205.4478836911367</v>
      </c>
      <c r="N27" s="6">
        <f t="shared" si="13"/>
        <v>2287.2999917152029</v>
      </c>
      <c r="O27" s="6">
        <f t="shared" si="13"/>
        <v>2299.3061046191096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</row>
    <row r="28" spans="1:110" x14ac:dyDescent="0.45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 spans="1:110" x14ac:dyDescent="0.45">
      <c r="A29" s="1" t="s">
        <v>13</v>
      </c>
      <c r="B29" s="1"/>
      <c r="C29" s="16">
        <v>16</v>
      </c>
      <c r="D29" s="16">
        <v>26</v>
      </c>
      <c r="E29" s="16">
        <v>42</v>
      </c>
      <c r="F29" s="17">
        <f>F17*F85</f>
        <v>46.215900000000005</v>
      </c>
      <c r="G29" s="17">
        <f t="shared" ref="G29:O29" si="14">G17*G85</f>
        <v>54.392894999999989</v>
      </c>
      <c r="H29" s="17">
        <f t="shared" si="14"/>
        <v>64.036849229999987</v>
      </c>
      <c r="I29" s="17">
        <f t="shared" si="14"/>
        <v>75.415594578299988</v>
      </c>
      <c r="J29" s="17">
        <f t="shared" si="14"/>
        <v>88.846922070818991</v>
      </c>
      <c r="K29" s="17">
        <f t="shared" si="14"/>
        <v>102.95744522847781</v>
      </c>
      <c r="L29" s="17">
        <f t="shared" si="14"/>
        <v>117.3025895377161</v>
      </c>
      <c r="M29" s="17">
        <f t="shared" si="14"/>
        <v>131.33998569661105</v>
      </c>
      <c r="N29" s="17">
        <f t="shared" si="14"/>
        <v>144.45743347676029</v>
      </c>
      <c r="O29" s="17">
        <f t="shared" si="14"/>
        <v>156.01402815490113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</row>
    <row r="30" spans="1:110" x14ac:dyDescent="0.45">
      <c r="A30" s="1"/>
      <c r="B30" s="1"/>
      <c r="C30" s="4" t="s">
        <v>4</v>
      </c>
      <c r="D30" s="4" t="s">
        <v>4</v>
      </c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O30" s="4" t="s">
        <v>4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</row>
    <row r="31" spans="1:110" x14ac:dyDescent="0.45">
      <c r="A31" s="1" t="s">
        <v>14</v>
      </c>
      <c r="B31" s="1"/>
      <c r="C31" s="6">
        <f>C27+C29</f>
        <v>675</v>
      </c>
      <c r="D31" s="6">
        <f t="shared" ref="D31:O31" si="15">D27+D29</f>
        <v>568</v>
      </c>
      <c r="E31" s="6">
        <f t="shared" si="15"/>
        <v>689</v>
      </c>
      <c r="F31" s="6">
        <f t="shared" si="15"/>
        <v>823.06411666666668</v>
      </c>
      <c r="G31" s="6">
        <f t="shared" si="15"/>
        <v>991.70386316666668</v>
      </c>
      <c r="H31" s="6">
        <f t="shared" si="15"/>
        <v>1220.9133771066668</v>
      </c>
      <c r="I31" s="6">
        <f t="shared" si="15"/>
        <v>1467.9702060094669</v>
      </c>
      <c r="J31" s="6">
        <f t="shared" si="15"/>
        <v>1766.1808729764625</v>
      </c>
      <c r="K31" s="6">
        <f t="shared" si="15"/>
        <v>1984.1533582724539</v>
      </c>
      <c r="L31" s="6">
        <f t="shared" si="15"/>
        <v>2184.6455718388311</v>
      </c>
      <c r="M31" s="6">
        <f t="shared" si="15"/>
        <v>2336.7878693877478</v>
      </c>
      <c r="N31" s="6">
        <f t="shared" si="15"/>
        <v>2431.7574251919632</v>
      </c>
      <c r="O31" s="6">
        <f t="shared" si="15"/>
        <v>2455.3201327740107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</row>
    <row r="32" spans="1:110" x14ac:dyDescent="0.45">
      <c r="A32" s="1" t="s">
        <v>15</v>
      </c>
      <c r="B32" s="1"/>
      <c r="C32" s="6">
        <v>135</v>
      </c>
      <c r="D32" s="6">
        <v>119</v>
      </c>
      <c r="E32" s="6">
        <v>135</v>
      </c>
      <c r="F32" s="6">
        <f>F31*F88</f>
        <v>164.61282333333335</v>
      </c>
      <c r="G32" s="6">
        <f t="shared" ref="G32:O32" si="16">G31*G88</f>
        <v>198.34077263333336</v>
      </c>
      <c r="H32" s="6">
        <f t="shared" si="16"/>
        <v>244.18267542133336</v>
      </c>
      <c r="I32" s="6">
        <f t="shared" si="16"/>
        <v>293.59404120189339</v>
      </c>
      <c r="J32" s="6">
        <f t="shared" si="16"/>
        <v>353.23617459529254</v>
      </c>
      <c r="K32" s="6">
        <f t="shared" si="16"/>
        <v>396.8306716544908</v>
      </c>
      <c r="L32" s="6">
        <f t="shared" si="16"/>
        <v>436.92911436776626</v>
      </c>
      <c r="M32" s="6">
        <f t="shared" si="16"/>
        <v>467.35757387754961</v>
      </c>
      <c r="N32" s="6">
        <f t="shared" si="16"/>
        <v>486.35148503839264</v>
      </c>
      <c r="O32" s="6">
        <f t="shared" si="16"/>
        <v>491.06402655480218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</row>
    <row r="33" spans="1:110" x14ac:dyDescent="0.45">
      <c r="A33" s="1"/>
      <c r="B33" s="1"/>
      <c r="C33" s="4" t="s">
        <v>4</v>
      </c>
      <c r="D33" s="4" t="s">
        <v>4</v>
      </c>
      <c r="E33" s="4" t="s">
        <v>4</v>
      </c>
      <c r="F33" s="4" t="s">
        <v>4</v>
      </c>
      <c r="G33" s="4" t="s">
        <v>4</v>
      </c>
      <c r="H33" s="4" t="s">
        <v>4</v>
      </c>
      <c r="I33" s="4" t="s">
        <v>4</v>
      </c>
      <c r="J33" s="4" t="s">
        <v>4</v>
      </c>
      <c r="K33" s="4" t="s">
        <v>4</v>
      </c>
      <c r="L33" s="4" t="s">
        <v>4</v>
      </c>
      <c r="M33" s="4" t="s">
        <v>4</v>
      </c>
      <c r="N33" s="4" t="s">
        <v>4</v>
      </c>
      <c r="O33" s="4" t="s">
        <v>4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</row>
    <row r="34" spans="1:110" x14ac:dyDescent="0.45">
      <c r="A34" s="1" t="s">
        <v>16</v>
      </c>
      <c r="B34" s="1"/>
      <c r="C34" s="6">
        <f>+C31-C32</f>
        <v>540</v>
      </c>
      <c r="D34" s="6">
        <f>+D31-D32</f>
        <v>449</v>
      </c>
      <c r="E34" s="6">
        <f>E31-E32</f>
        <v>554</v>
      </c>
      <c r="F34" s="6">
        <f t="shared" ref="F34:O34" si="17">F31-F32</f>
        <v>658.4512933333333</v>
      </c>
      <c r="G34" s="6">
        <f t="shared" si="17"/>
        <v>793.36309053333332</v>
      </c>
      <c r="H34" s="6">
        <f t="shared" si="17"/>
        <v>976.73070168533343</v>
      </c>
      <c r="I34" s="6">
        <f t="shared" si="17"/>
        <v>1174.3761648075736</v>
      </c>
      <c r="J34" s="6">
        <f t="shared" si="17"/>
        <v>1412.9446983811699</v>
      </c>
      <c r="K34" s="6">
        <f t="shared" si="17"/>
        <v>1587.3226866179632</v>
      </c>
      <c r="L34" s="6">
        <f t="shared" si="17"/>
        <v>1747.7164574710648</v>
      </c>
      <c r="M34" s="6">
        <f t="shared" si="17"/>
        <v>1869.4302955101982</v>
      </c>
      <c r="N34" s="6">
        <f t="shared" si="17"/>
        <v>1945.4059401535706</v>
      </c>
      <c r="O34" s="6">
        <f t="shared" si="17"/>
        <v>1964.2561062192085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</row>
    <row r="35" spans="1:110" x14ac:dyDescent="0.45">
      <c r="A35" s="1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</row>
    <row r="36" spans="1:110" x14ac:dyDescent="0.45">
      <c r="A36" s="3" t="s">
        <v>17</v>
      </c>
      <c r="B36" s="1"/>
      <c r="C36" s="6">
        <f>C23</f>
        <v>41</v>
      </c>
      <c r="D36" s="6">
        <f t="shared" ref="D36:E36" si="18">D23</f>
        <v>46</v>
      </c>
      <c r="E36" s="6">
        <f t="shared" si="18"/>
        <v>85</v>
      </c>
      <c r="F36" s="6">
        <f>F131</f>
        <v>67.603333333333325</v>
      </c>
      <c r="G36" s="6">
        <f t="shared" ref="G36:O36" si="19">G131</f>
        <v>79.203333333333319</v>
      </c>
      <c r="H36" s="6">
        <f t="shared" si="19"/>
        <v>96.293333333333322</v>
      </c>
      <c r="I36" s="6">
        <f t="shared" si="19"/>
        <v>117.48493333333333</v>
      </c>
      <c r="J36" s="6">
        <f t="shared" si="19"/>
        <v>143.76251733333334</v>
      </c>
      <c r="K36" s="6">
        <f t="shared" si="19"/>
        <v>175.50583880533333</v>
      </c>
      <c r="L36" s="6">
        <f t="shared" si="19"/>
        <v>205.50265152307199</v>
      </c>
      <c r="M36" s="6">
        <f t="shared" si="19"/>
        <v>248.20833860549834</v>
      </c>
      <c r="N36" s="6">
        <f t="shared" si="19"/>
        <v>295.69706264115644</v>
      </c>
      <c r="O36" s="6">
        <f t="shared" si="19"/>
        <v>346.98488459966723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</row>
    <row r="37" spans="1:110" x14ac:dyDescent="0.45">
      <c r="A37" s="3" t="s">
        <v>18</v>
      </c>
      <c r="B37" s="1"/>
      <c r="C37" s="6">
        <f>-62</f>
        <v>-62</v>
      </c>
      <c r="D37" s="6">
        <f>-156</f>
        <v>-156</v>
      </c>
      <c r="E37" s="6">
        <f>-159</f>
        <v>-159</v>
      </c>
      <c r="F37" s="6">
        <f>-98.7</f>
        <v>-98.7</v>
      </c>
      <c r="G37" s="6">
        <f>-116</f>
        <v>-116</v>
      </c>
      <c r="H37" s="6">
        <f>-170.9</f>
        <v>-170.9</v>
      </c>
      <c r="I37" s="6">
        <f>H37*(1+I94)</f>
        <v>-211.916</v>
      </c>
      <c r="J37" s="6">
        <f t="shared" ref="J37:O37" si="20">I37*(1+J94)</f>
        <v>-262.77584000000002</v>
      </c>
      <c r="K37" s="6">
        <f t="shared" si="20"/>
        <v>-317.43321472000002</v>
      </c>
      <c r="L37" s="6">
        <f t="shared" si="20"/>
        <v>-373.30146051072001</v>
      </c>
      <c r="M37" s="6">
        <f t="shared" si="20"/>
        <v>-427.05687082426363</v>
      </c>
      <c r="N37" s="6">
        <f t="shared" si="20"/>
        <v>-474.88724035658117</v>
      </c>
      <c r="O37" s="6">
        <f t="shared" si="20"/>
        <v>-512.87821958510767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</row>
    <row r="38" spans="1:110" x14ac:dyDescent="0.45">
      <c r="A38" s="3" t="s">
        <v>19</v>
      </c>
      <c r="B38" s="1"/>
      <c r="C38" s="6">
        <f>-193.62-144.31+71.9+144.05</f>
        <v>-121.97999999999996</v>
      </c>
      <c r="D38" s="6">
        <f>-13.35-181.97-9.67-30.07</f>
        <v>-235.05999999999997</v>
      </c>
      <c r="E38" s="6">
        <f>-146.44-4.16+81.47+6.64</f>
        <v>-62.489999999999995</v>
      </c>
      <c r="F38" s="6">
        <f>(E8-F8)*F96</f>
        <v>-22.582800000000002</v>
      </c>
      <c r="G38" s="6">
        <f t="shared" ref="G38:O38" si="21">(F8-G8)*G96</f>
        <v>-27.453600000000009</v>
      </c>
      <c r="H38" s="6">
        <f t="shared" si="21"/>
        <v>-34.042463999999995</v>
      </c>
      <c r="I38" s="6">
        <f t="shared" si="21"/>
        <v>-42.212655360000014</v>
      </c>
      <c r="J38" s="6">
        <f t="shared" si="21"/>
        <v>-52.343692646400029</v>
      </c>
      <c r="K38" s="6">
        <f t="shared" si="21"/>
        <v>-56.252021697331202</v>
      </c>
      <c r="L38" s="6">
        <f t="shared" si="21"/>
        <v>-57.498220331856658</v>
      </c>
      <c r="M38" s="6">
        <f t="shared" si="21"/>
        <v>-55.323742181124601</v>
      </c>
      <c r="N38" s="6">
        <f t="shared" si="21"/>
        <v>-49.225836376271843</v>
      </c>
      <c r="O38" s="6">
        <f t="shared" si="21"/>
        <v>-39.09937860743878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</row>
    <row r="39" spans="1:110" x14ac:dyDescent="0.45">
      <c r="A39" s="1"/>
      <c r="B39" s="1"/>
      <c r="C39" s="4" t="s">
        <v>4</v>
      </c>
      <c r="D39" s="4" t="s">
        <v>4</v>
      </c>
      <c r="E39" s="4" t="s">
        <v>4</v>
      </c>
      <c r="F39" s="4" t="s">
        <v>4</v>
      </c>
      <c r="G39" s="4" t="s">
        <v>4</v>
      </c>
      <c r="H39" s="4" t="s">
        <v>4</v>
      </c>
      <c r="I39" s="4" t="s">
        <v>4</v>
      </c>
      <c r="J39" s="4" t="s">
        <v>4</v>
      </c>
      <c r="K39" s="4" t="s">
        <v>4</v>
      </c>
      <c r="L39" s="4" t="s">
        <v>4</v>
      </c>
      <c r="M39" s="4" t="s">
        <v>4</v>
      </c>
      <c r="N39" s="4" t="s">
        <v>4</v>
      </c>
      <c r="O39" s="4" t="s">
        <v>4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</row>
    <row r="40" spans="1:110" x14ac:dyDescent="0.45">
      <c r="A40" s="1" t="s">
        <v>20</v>
      </c>
      <c r="B40" s="1"/>
      <c r="C40" s="6">
        <f>+C34+SUM(C36:C39)</f>
        <v>397.02000000000004</v>
      </c>
      <c r="D40" s="6">
        <f>+D34+SUM(D36:D39)</f>
        <v>103.94000000000005</v>
      </c>
      <c r="E40" s="6">
        <f>+E34+SUM(E36:E38)</f>
        <v>417.51</v>
      </c>
      <c r="F40" s="6">
        <f t="shared" ref="F40:O40" si="22">+F34+SUM(F36:F38)</f>
        <v>604.77182666666658</v>
      </c>
      <c r="G40" s="6">
        <f t="shared" si="22"/>
        <v>729.11282386666664</v>
      </c>
      <c r="H40" s="6">
        <f t="shared" si="22"/>
        <v>868.08157101866675</v>
      </c>
      <c r="I40" s="6">
        <f t="shared" si="22"/>
        <v>1037.7324427809069</v>
      </c>
      <c r="J40" s="6">
        <f t="shared" si="22"/>
        <v>1241.5876830681032</v>
      </c>
      <c r="K40" s="6">
        <f t="shared" si="22"/>
        <v>1389.1432890059652</v>
      </c>
      <c r="L40" s="6">
        <f t="shared" si="22"/>
        <v>1522.4194281515602</v>
      </c>
      <c r="M40" s="6">
        <f t="shared" si="22"/>
        <v>1635.2580211103084</v>
      </c>
      <c r="N40" s="6">
        <f t="shared" si="22"/>
        <v>1716.989926061874</v>
      </c>
      <c r="O40" s="6">
        <f t="shared" si="22"/>
        <v>1759.2633926263293</v>
      </c>
      <c r="P40" s="6">
        <f>O34*(1-$T$40/25%)/(E106-$T$40)</f>
        <v>22448.641213933817</v>
      </c>
      <c r="Q40" s="6"/>
      <c r="R40" s="6" t="s">
        <v>55</v>
      </c>
      <c r="S40" s="6"/>
      <c r="T40" s="15">
        <v>0.05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</row>
    <row r="41" spans="1:110" x14ac:dyDescent="0.45">
      <c r="A41" s="1" t="s">
        <v>21</v>
      </c>
      <c r="B41" s="1"/>
      <c r="C41" s="9"/>
      <c r="D41" s="9"/>
      <c r="E41" s="9"/>
      <c r="F41" s="9">
        <f t="shared" ref="F41:O41" si="23">1/(1+F106)^(F107/12)</f>
        <v>0.95871322334491815</v>
      </c>
      <c r="G41" s="9">
        <f t="shared" si="23"/>
        <v>0.86985676535030854</v>
      </c>
      <c r="H41" s="9">
        <f t="shared" si="23"/>
        <v>0.77961531239312853</v>
      </c>
      <c r="I41" s="9">
        <f t="shared" si="23"/>
        <v>0.69998924533273343</v>
      </c>
      <c r="J41" s="9">
        <f t="shared" si="23"/>
        <v>0.6296247821749561</v>
      </c>
      <c r="K41" s="9">
        <f t="shared" si="23"/>
        <v>0.57816841318833001</v>
      </c>
      <c r="L41" s="9">
        <f t="shared" si="23"/>
        <v>0.52087244431381075</v>
      </c>
      <c r="M41" s="9">
        <f t="shared" si="23"/>
        <v>0.46925445433676638</v>
      </c>
      <c r="N41" s="9">
        <f t="shared" si="23"/>
        <v>0.42275176066375353</v>
      </c>
      <c r="O41" s="9">
        <f t="shared" si="23"/>
        <v>0.38085744203941757</v>
      </c>
      <c r="P41" s="9">
        <f>1/(1+O106)^(P107/12)</f>
        <v>0.36149388635355711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</row>
    <row r="42" spans="1:110" x14ac:dyDescent="0.45">
      <c r="A42" s="1"/>
      <c r="B42" s="1"/>
      <c r="C42" s="4"/>
      <c r="D42" s="4"/>
      <c r="E42" s="4"/>
      <c r="F42" s="4" t="s">
        <v>4</v>
      </c>
      <c r="G42" s="4" t="s">
        <v>4</v>
      </c>
      <c r="H42" s="4" t="s">
        <v>4</v>
      </c>
      <c r="I42" s="4" t="s">
        <v>4</v>
      </c>
      <c r="J42" s="4" t="s">
        <v>4</v>
      </c>
      <c r="K42" s="4" t="s">
        <v>4</v>
      </c>
      <c r="L42" s="4" t="s">
        <v>4</v>
      </c>
      <c r="M42" s="4" t="s">
        <v>4</v>
      </c>
      <c r="N42" s="4" t="s">
        <v>4</v>
      </c>
      <c r="O42" s="4" t="s">
        <v>4</v>
      </c>
      <c r="P42" s="4" t="s">
        <v>4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</row>
    <row r="43" spans="1:110" x14ac:dyDescent="0.45">
      <c r="A43" s="1" t="s">
        <v>22</v>
      </c>
      <c r="B43" s="1"/>
      <c r="C43" s="6"/>
      <c r="D43" s="6"/>
      <c r="E43" s="6"/>
      <c r="F43" s="6">
        <f>F40*F41</f>
        <v>579.80274733179408</v>
      </c>
      <c r="G43" s="6">
        <f t="shared" ref="G43:P43" si="24">G40*G41</f>
        <v>634.22372254408788</v>
      </c>
      <c r="H43" s="6">
        <f t="shared" si="24"/>
        <v>676.76968517243563</v>
      </c>
      <c r="I43" s="6">
        <f t="shared" si="24"/>
        <v>726.401549479501</v>
      </c>
      <c r="J43" s="6">
        <f t="shared" si="24"/>
        <v>781.73437450286292</v>
      </c>
      <c r="K43" s="6">
        <f t="shared" si="24"/>
        <v>803.15877109579662</v>
      </c>
      <c r="L43" s="6">
        <f t="shared" si="24"/>
        <v>792.98632881213712</v>
      </c>
      <c r="M43" s="6">
        <f t="shared" si="24"/>
        <v>767.35211039593821</v>
      </c>
      <c r="N43" s="6">
        <f t="shared" si="24"/>
        <v>725.86051428458529</v>
      </c>
      <c r="O43" s="6">
        <f t="shared" si="24"/>
        <v>670.02855558925137</v>
      </c>
      <c r="P43" s="6">
        <f t="shared" si="24"/>
        <v>8115.0465557815696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</row>
    <row r="44" spans="1:110" x14ac:dyDescent="0.45">
      <c r="A44" s="1"/>
      <c r="B44" s="1"/>
      <c r="F44" s="4" t="s">
        <v>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</row>
    <row r="45" spans="1:110" x14ac:dyDescent="0.45">
      <c r="A45" s="1" t="s">
        <v>23</v>
      </c>
      <c r="B45" s="1"/>
      <c r="F45" s="6">
        <f>SUM((F43:P43))</f>
        <v>15273.364914989961</v>
      </c>
      <c r="G45" s="15"/>
      <c r="H45" s="6" t="s">
        <v>63</v>
      </c>
      <c r="I45" s="6"/>
      <c r="J45" s="15">
        <f>P43/F45</f>
        <v>0.53132015118797438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</row>
    <row r="46" spans="1:110" x14ac:dyDescent="0.45">
      <c r="A46" s="1" t="s">
        <v>24</v>
      </c>
      <c r="B46" s="1"/>
      <c r="F46" s="6">
        <f>-59-16</f>
        <v>-75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</row>
    <row r="47" spans="1:110" x14ac:dyDescent="0.45">
      <c r="A47" s="1" t="s">
        <v>25</v>
      </c>
      <c r="B47" s="1"/>
      <c r="F47" s="6">
        <f>667</f>
        <v>667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</row>
    <row r="48" spans="1:110" x14ac:dyDescent="0.45">
      <c r="A48" s="1" t="s">
        <v>48</v>
      </c>
      <c r="B48" s="1"/>
      <c r="F48" s="6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</row>
    <row r="49" spans="1:110" x14ac:dyDescent="0.45">
      <c r="A49" s="1"/>
      <c r="B49" s="1"/>
      <c r="F49" s="4" t="s">
        <v>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</row>
    <row r="50" spans="1:110" x14ac:dyDescent="0.45">
      <c r="A50" s="1" t="s">
        <v>26</v>
      </c>
      <c r="B50" s="1"/>
      <c r="F50" s="6">
        <f>F45-F46+F47+F48</f>
        <v>16015.364914989961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 spans="1:110" x14ac:dyDescent="0.45">
      <c r="A51" s="1" t="s">
        <v>27</v>
      </c>
      <c r="B51" s="1"/>
      <c r="F51">
        <f>134459960/10^7</f>
        <v>13.445995999999999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 spans="1:110" x14ac:dyDescent="0.45">
      <c r="A52" s="1"/>
      <c r="B52" s="1"/>
      <c r="F52" s="4" t="s">
        <v>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</row>
    <row r="53" spans="1:110" x14ac:dyDescent="0.45">
      <c r="A53" s="1" t="s">
        <v>28</v>
      </c>
      <c r="B53" s="1"/>
      <c r="F53" s="12">
        <f>F50/F51</f>
        <v>1191.0880320795843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spans="1:110" x14ac:dyDescent="0.45">
      <c r="A54" s="1"/>
      <c r="B54" s="1"/>
      <c r="F54" s="8" t="s">
        <v>49</v>
      </c>
      <c r="G54" s="6"/>
      <c r="H54" s="6" t="s">
        <v>52</v>
      </c>
      <c r="I54" s="15">
        <f>F53/F56-1</f>
        <v>0.26711492774423862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 spans="1:110" x14ac:dyDescent="0.45">
      <c r="A55" s="1"/>
      <c r="B55" s="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</row>
    <row r="56" spans="1:110" x14ac:dyDescent="0.45">
      <c r="A56" s="1" t="s">
        <v>62</v>
      </c>
      <c r="B56" s="1"/>
      <c r="F56" s="12">
        <v>940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</row>
    <row r="57" spans="1:110" x14ac:dyDescent="0.45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</row>
    <row r="58" spans="1:110" ht="15.75" x14ac:dyDescent="0.5">
      <c r="A58" s="31" t="s">
        <v>56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</row>
    <row r="59" spans="1:110" x14ac:dyDescent="0.45">
      <c r="A59" s="30" t="s">
        <v>0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</row>
    <row r="60" spans="1:110" x14ac:dyDescent="0.45">
      <c r="A60" s="30" t="s">
        <v>1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</row>
    <row r="61" spans="1:110" x14ac:dyDescent="0.45">
      <c r="A61" s="30" t="s">
        <v>53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</row>
    <row r="62" spans="1:110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</row>
    <row r="63" spans="1:110" x14ac:dyDescent="0.45">
      <c r="A63" s="1"/>
      <c r="B63" s="1"/>
      <c r="C63" s="1">
        <v>2022</v>
      </c>
      <c r="D63" s="1">
        <f t="shared" ref="D63:O63" si="25">+C63+1</f>
        <v>2023</v>
      </c>
      <c r="E63" s="1">
        <f t="shared" si="25"/>
        <v>2024</v>
      </c>
      <c r="F63" s="1">
        <f t="shared" si="25"/>
        <v>2025</v>
      </c>
      <c r="G63" s="1">
        <f t="shared" si="25"/>
        <v>2026</v>
      </c>
      <c r="H63" s="1">
        <f t="shared" si="25"/>
        <v>2027</v>
      </c>
      <c r="I63" s="1">
        <f t="shared" si="25"/>
        <v>2028</v>
      </c>
      <c r="J63" s="1">
        <f t="shared" si="25"/>
        <v>2029</v>
      </c>
      <c r="K63" s="1">
        <f t="shared" si="25"/>
        <v>2030</v>
      </c>
      <c r="L63" s="1">
        <f t="shared" si="25"/>
        <v>2031</v>
      </c>
      <c r="M63" s="1">
        <f t="shared" si="25"/>
        <v>2032</v>
      </c>
      <c r="N63" s="1">
        <f t="shared" si="25"/>
        <v>2033</v>
      </c>
      <c r="O63" s="1">
        <f t="shared" si="25"/>
        <v>2034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 spans="1:110" x14ac:dyDescent="0.45">
      <c r="A64" s="1"/>
      <c r="B64" s="1"/>
      <c r="C64" s="4" t="s">
        <v>4</v>
      </c>
      <c r="D64" s="4" t="s">
        <v>4</v>
      </c>
      <c r="E64" s="4" t="s">
        <v>4</v>
      </c>
      <c r="F64" s="4" t="s">
        <v>4</v>
      </c>
      <c r="G64" s="4" t="s">
        <v>4</v>
      </c>
      <c r="H64" s="4" t="s">
        <v>4</v>
      </c>
      <c r="I64" s="4" t="s">
        <v>4</v>
      </c>
      <c r="J64" s="4" t="s">
        <v>4</v>
      </c>
      <c r="K64" s="4" t="s">
        <v>4</v>
      </c>
      <c r="L64" s="4" t="s">
        <v>4</v>
      </c>
      <c r="M64" s="4" t="s">
        <v>4</v>
      </c>
      <c r="N64" s="4" t="s">
        <v>4</v>
      </c>
      <c r="O64" s="4" t="s">
        <v>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</row>
    <row r="65" spans="1:110" x14ac:dyDescent="0.45">
      <c r="A65" s="1" t="s">
        <v>59</v>
      </c>
      <c r="B65" s="1"/>
      <c r="C65" s="7" t="s">
        <v>54</v>
      </c>
      <c r="D65" s="7">
        <f>D8/C8-1</f>
        <v>0.20238095238095233</v>
      </c>
      <c r="E65" s="7">
        <f>E8/D8-1</f>
        <v>0.21782178217821779</v>
      </c>
      <c r="F65" s="7">
        <f>'Sensitivity Analysis'!C1</f>
        <v>0.24</v>
      </c>
      <c r="G65" s="7">
        <f>F65</f>
        <v>0.24</v>
      </c>
      <c r="H65" s="7">
        <f t="shared" ref="H65:J65" si="26">G65</f>
        <v>0.24</v>
      </c>
      <c r="I65" s="7">
        <f t="shared" si="26"/>
        <v>0.24</v>
      </c>
      <c r="J65" s="7">
        <f t="shared" si="26"/>
        <v>0.24</v>
      </c>
      <c r="K65" s="7">
        <f>J65-($J$65-8%)/5</f>
        <v>0.20799999999999999</v>
      </c>
      <c r="L65" s="7">
        <f t="shared" ref="L65:O65" si="27">K65-($J$65-8%)/5</f>
        <v>0.17599999999999999</v>
      </c>
      <c r="M65" s="7">
        <f t="shared" si="27"/>
        <v>0.14399999999999999</v>
      </c>
      <c r="N65" s="7">
        <f t="shared" si="27"/>
        <v>0.11199999999999999</v>
      </c>
      <c r="O65" s="7">
        <f t="shared" si="27"/>
        <v>7.9999999999999988E-2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</row>
    <row r="66" spans="1:110" x14ac:dyDescent="0.45">
      <c r="A66" s="1" t="s">
        <v>5</v>
      </c>
      <c r="B66" s="1"/>
      <c r="C66" s="7">
        <f>C9/C8</f>
        <v>6.3492063492063489E-2</v>
      </c>
      <c r="D66" s="7">
        <f t="shared" ref="D66:O66" si="28">D9/D8</f>
        <v>3.9603960396039604E-2</v>
      </c>
      <c r="E66" s="7">
        <f t="shared" si="28"/>
        <v>2.4390243902439025E-2</v>
      </c>
      <c r="F66" s="7">
        <f t="shared" si="28"/>
        <v>2.0000000000000039E-2</v>
      </c>
      <c r="G66" s="7">
        <f t="shared" si="28"/>
        <v>1.9999999999999997E-2</v>
      </c>
      <c r="H66" s="7">
        <f t="shared" si="28"/>
        <v>1.9999999999999938E-2</v>
      </c>
      <c r="I66" s="7">
        <f t="shared" si="28"/>
        <v>2.0000000000000032E-2</v>
      </c>
      <c r="J66" s="7">
        <f t="shared" si="28"/>
        <v>2.0000000000000028E-2</v>
      </c>
      <c r="K66" s="7">
        <f t="shared" si="28"/>
        <v>2.399999999999999E-2</v>
      </c>
      <c r="L66" s="7">
        <f t="shared" si="28"/>
        <v>2.8000000000000091E-2</v>
      </c>
      <c r="M66" s="7">
        <f t="shared" si="28"/>
        <v>3.1999999999999973E-2</v>
      </c>
      <c r="N66" s="7">
        <f t="shared" si="28"/>
        <v>3.6000000000000039E-2</v>
      </c>
      <c r="O66" s="7">
        <f t="shared" si="28"/>
        <v>4.0000000000000042E-2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</row>
    <row r="67" spans="1:110" x14ac:dyDescent="0.45">
      <c r="A67" s="1"/>
      <c r="B67" s="1"/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4" t="s">
        <v>4</v>
      </c>
      <c r="I67" s="4" t="s">
        <v>4</v>
      </c>
      <c r="J67" s="4" t="s">
        <v>4</v>
      </c>
      <c r="K67" s="4" t="s">
        <v>4</v>
      </c>
      <c r="L67" s="4" t="s">
        <v>4</v>
      </c>
      <c r="M67" s="4" t="s">
        <v>4</v>
      </c>
      <c r="N67" s="4" t="s">
        <v>4</v>
      </c>
      <c r="O67" s="4" t="s">
        <v>4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</row>
    <row r="68" spans="1:110" x14ac:dyDescent="0.45">
      <c r="A68" s="1" t="s">
        <v>6</v>
      </c>
      <c r="B68" s="1"/>
      <c r="C68" s="7">
        <f>C11/C8</f>
        <v>0.93650793650793651</v>
      </c>
      <c r="D68" s="7">
        <f>D11/D8</f>
        <v>0.96039603960396036</v>
      </c>
      <c r="E68" s="7">
        <f>E11/E8</f>
        <v>0.97560975609756095</v>
      </c>
      <c r="F68" s="7">
        <v>0.98</v>
      </c>
      <c r="G68" s="7">
        <v>0.98</v>
      </c>
      <c r="H68" s="7">
        <v>0.98</v>
      </c>
      <c r="I68" s="7">
        <v>0.98</v>
      </c>
      <c r="J68" s="7">
        <v>0.98</v>
      </c>
      <c r="K68" s="7">
        <f>J68-($J$68-96%)/5</f>
        <v>0.97599999999999998</v>
      </c>
      <c r="L68" s="7">
        <f t="shared" ref="L68:O68" si="29">K68-($J$68-96%)/5</f>
        <v>0.97199999999999998</v>
      </c>
      <c r="M68" s="7">
        <f t="shared" si="29"/>
        <v>0.96799999999999997</v>
      </c>
      <c r="N68" s="7">
        <f t="shared" si="29"/>
        <v>0.96399999999999997</v>
      </c>
      <c r="O68" s="7">
        <f t="shared" si="29"/>
        <v>0.96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</row>
    <row r="69" spans="1:110" x14ac:dyDescent="0.45">
      <c r="A69" s="1" t="s">
        <v>60</v>
      </c>
      <c r="B69" s="1"/>
      <c r="C69" s="7" t="s">
        <v>54</v>
      </c>
      <c r="D69" s="7">
        <f>D12/C12-1</f>
        <v>3.3175355450236976E-2</v>
      </c>
      <c r="E69" s="7">
        <f>E12/D12-1</f>
        <v>0.16612057667103541</v>
      </c>
      <c r="F69" s="7">
        <f>'Sensitivity Analysis'!C12</f>
        <v>0.17</v>
      </c>
      <c r="G69" s="7">
        <f>F69</f>
        <v>0.17</v>
      </c>
      <c r="H69" s="7">
        <f t="shared" ref="H69:J69" si="30">G69</f>
        <v>0.17</v>
      </c>
      <c r="I69" s="7">
        <f t="shared" si="30"/>
        <v>0.17</v>
      </c>
      <c r="J69" s="7">
        <f t="shared" si="30"/>
        <v>0.17</v>
      </c>
      <c r="K69" s="7">
        <f>J69-($J$69-8%)/5</f>
        <v>0.15200000000000002</v>
      </c>
      <c r="L69" s="7">
        <f t="shared" ref="L69:O69" si="31">K69-($J$69-8%)/5</f>
        <v>0.13400000000000001</v>
      </c>
      <c r="M69" s="7">
        <f t="shared" si="31"/>
        <v>0.11600000000000001</v>
      </c>
      <c r="N69" s="7">
        <f t="shared" si="31"/>
        <v>9.8000000000000004E-2</v>
      </c>
      <c r="O69" s="7">
        <f t="shared" si="31"/>
        <v>0.08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</row>
    <row r="70" spans="1:110" x14ac:dyDescent="0.45">
      <c r="A70" s="1" t="s">
        <v>5</v>
      </c>
      <c r="B70" s="1"/>
      <c r="C70" s="7">
        <f>C13/C12</f>
        <v>0.77251184834123221</v>
      </c>
      <c r="D70" s="7">
        <f t="shared" ref="D70:O70" si="32">D13/D12</f>
        <v>0.82110091743119262</v>
      </c>
      <c r="E70" s="7">
        <f t="shared" si="32"/>
        <v>0.80443944928350664</v>
      </c>
      <c r="F70" s="7">
        <f t="shared" si="32"/>
        <v>0.80499999999999994</v>
      </c>
      <c r="G70" s="7">
        <f t="shared" si="32"/>
        <v>0.80500000000000005</v>
      </c>
      <c r="H70" s="7">
        <f t="shared" si="32"/>
        <v>0.79999999999999993</v>
      </c>
      <c r="I70" s="7">
        <f t="shared" si="32"/>
        <v>0.8</v>
      </c>
      <c r="J70" s="7">
        <f t="shared" si="32"/>
        <v>0.8</v>
      </c>
      <c r="K70" s="7">
        <f t="shared" si="32"/>
        <v>0.80999999999999994</v>
      </c>
      <c r="L70" s="7">
        <f t="shared" si="32"/>
        <v>0.82</v>
      </c>
      <c r="M70" s="7">
        <f t="shared" si="32"/>
        <v>0.83</v>
      </c>
      <c r="N70" s="7">
        <f t="shared" si="32"/>
        <v>0.84000000000000008</v>
      </c>
      <c r="O70" s="7">
        <f t="shared" si="32"/>
        <v>0.85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</row>
    <row r="71" spans="1:110" x14ac:dyDescent="0.45">
      <c r="A71" s="1"/>
      <c r="B71" s="1"/>
      <c r="C71" s="4" t="s">
        <v>4</v>
      </c>
      <c r="D71" s="4" t="s">
        <v>4</v>
      </c>
      <c r="E71" s="4" t="s">
        <v>4</v>
      </c>
      <c r="F71" s="4" t="s">
        <v>4</v>
      </c>
      <c r="G71" s="4" t="s">
        <v>4</v>
      </c>
      <c r="H71" s="4" t="s">
        <v>4</v>
      </c>
      <c r="I71" s="4" t="s">
        <v>4</v>
      </c>
      <c r="J71" s="4" t="s">
        <v>4</v>
      </c>
      <c r="K71" s="4" t="s">
        <v>4</v>
      </c>
      <c r="L71" s="4" t="s">
        <v>4</v>
      </c>
      <c r="M71" s="4" t="s">
        <v>4</v>
      </c>
      <c r="N71" s="4" t="s">
        <v>4</v>
      </c>
      <c r="O71" s="4" t="s">
        <v>4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</row>
    <row r="72" spans="1:110" x14ac:dyDescent="0.45">
      <c r="A72" s="1" t="s">
        <v>6</v>
      </c>
      <c r="B72" s="1"/>
      <c r="C72" s="22">
        <f>C15/C12</f>
        <v>0.22748815165876776</v>
      </c>
      <c r="D72" s="22">
        <f>D15/D12</f>
        <v>0.17889908256880735</v>
      </c>
      <c r="E72" s="22">
        <f>E15/E12</f>
        <v>0.19556055071649339</v>
      </c>
      <c r="F72" s="22">
        <v>0.19500000000000001</v>
      </c>
      <c r="G72" s="22">
        <v>0.19500000000000001</v>
      </c>
      <c r="H72" s="22">
        <v>0.2</v>
      </c>
      <c r="I72" s="22">
        <v>0.2</v>
      </c>
      <c r="J72" s="22">
        <v>0.2</v>
      </c>
      <c r="K72" s="7">
        <f>J72-($J$72-15%)/5</f>
        <v>0.19</v>
      </c>
      <c r="L72" s="7">
        <f t="shared" ref="L72:O72" si="33">K72-($J$72-15%)/5</f>
        <v>0.18</v>
      </c>
      <c r="M72" s="7">
        <f t="shared" si="33"/>
        <v>0.16999999999999998</v>
      </c>
      <c r="N72" s="7">
        <f t="shared" si="33"/>
        <v>0.15999999999999998</v>
      </c>
      <c r="O72" s="7">
        <f t="shared" si="33"/>
        <v>0.14999999999999997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</row>
    <row r="73" spans="1:110" x14ac:dyDescent="0.45">
      <c r="A73" s="1"/>
      <c r="B73" s="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</row>
    <row r="74" spans="1:110" x14ac:dyDescent="0.45">
      <c r="A74" s="1" t="s">
        <v>71</v>
      </c>
      <c r="B74" s="1"/>
      <c r="C74" s="7"/>
      <c r="D74" s="7">
        <f>D17/C17-1</f>
        <v>4.6475358702432912E-2</v>
      </c>
      <c r="E74" s="7">
        <f t="shared" ref="E74:O74" si="34">E17/D17-1</f>
        <v>0.17078986587183298</v>
      </c>
      <c r="F74" s="7">
        <f t="shared" si="34"/>
        <v>0.17657586558044813</v>
      </c>
      <c r="G74" s="7">
        <f t="shared" si="34"/>
        <v>0.17693034215497239</v>
      </c>
      <c r="H74" s="7">
        <f t="shared" si="34"/>
        <v>0.17730172718330217</v>
      </c>
      <c r="I74" s="7">
        <f t="shared" si="34"/>
        <v>0.17769058729656062</v>
      </c>
      <c r="J74" s="7">
        <f t="shared" si="34"/>
        <v>0.17809748192827635</v>
      </c>
      <c r="K74" s="7">
        <f t="shared" si="34"/>
        <v>0.15881836791612747</v>
      </c>
      <c r="L74" s="7">
        <f t="shared" si="34"/>
        <v>0.1393308106801241</v>
      </c>
      <c r="M74" s="7">
        <f t="shared" si="34"/>
        <v>0.11966825467549902</v>
      </c>
      <c r="N74" s="7">
        <f t="shared" si="34"/>
        <v>9.987398514303103E-2</v>
      </c>
      <c r="O74" s="7">
        <f t="shared" si="34"/>
        <v>8.0000000000000071E-2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</row>
    <row r="75" spans="1:110" x14ac:dyDescent="0.45">
      <c r="A75" s="1" t="s">
        <v>70</v>
      </c>
      <c r="B75" s="1"/>
      <c r="C75" s="7">
        <f>C18/C17</f>
        <v>0.28321896444167188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</row>
    <row r="76" spans="1:110" x14ac:dyDescent="0.45">
      <c r="A76" s="1" t="s">
        <v>7</v>
      </c>
      <c r="B76" s="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</row>
    <row r="77" spans="1:110" x14ac:dyDescent="0.45">
      <c r="A77" s="1"/>
      <c r="B77" s="1" t="s">
        <v>8</v>
      </c>
      <c r="C77" s="7">
        <f>C21/C17</f>
        <v>8.7336244541484712E-3</v>
      </c>
      <c r="D77" s="7">
        <f t="shared" ref="D77:E77" si="35">D21/D17</f>
        <v>7.4515648286140089E-3</v>
      </c>
      <c r="E77" s="7">
        <f t="shared" si="35"/>
        <v>1.3492871690427699E-2</v>
      </c>
      <c r="F77" s="7">
        <v>1.4999999999999999E-2</v>
      </c>
      <c r="G77" s="7">
        <v>1.4999999999999999E-2</v>
      </c>
      <c r="H77" s="7">
        <v>1.4999999999999999E-2</v>
      </c>
      <c r="I77" s="7">
        <v>1.4999999999999999E-2</v>
      </c>
      <c r="J77" s="7">
        <v>1.4999999999999999E-2</v>
      </c>
      <c r="K77" s="7">
        <v>1.4999999999999999E-2</v>
      </c>
      <c r="L77" s="7">
        <v>1.4999999999999999E-2</v>
      </c>
      <c r="M77" s="7">
        <v>1.4999999999999999E-2</v>
      </c>
      <c r="N77" s="7">
        <v>1.4999999999999999E-2</v>
      </c>
      <c r="O77" s="7">
        <v>1.4999999999999999E-2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</row>
    <row r="78" spans="1:110" x14ac:dyDescent="0.45">
      <c r="A78" s="1"/>
      <c r="B78" s="1" t="s">
        <v>9</v>
      </c>
      <c r="C78" s="7">
        <f>C22/C17</f>
        <v>5.6144728633811605E-2</v>
      </c>
      <c r="D78" s="7">
        <f t="shared" ref="D78:E78" si="36">D22/D17</f>
        <v>6.676602086438152E-2</v>
      </c>
      <c r="E78" s="7">
        <f t="shared" si="36"/>
        <v>6.8991853360488797E-2</v>
      </c>
      <c r="F78" s="7">
        <v>7.4999999999999997E-2</v>
      </c>
      <c r="G78" s="7">
        <v>7.4999999999999997E-2</v>
      </c>
      <c r="H78" s="7">
        <v>7.4999999999999997E-2</v>
      </c>
      <c r="I78" s="7">
        <v>7.4999999999999997E-2</v>
      </c>
      <c r="J78" s="7">
        <v>7.4999999999999997E-2</v>
      </c>
      <c r="K78" s="7">
        <v>7.4999999999999997E-2</v>
      </c>
      <c r="L78" s="7">
        <v>7.4999999999999997E-2</v>
      </c>
      <c r="M78" s="7">
        <v>7.4999999999999997E-2</v>
      </c>
      <c r="N78" s="7">
        <v>7.4999999999999997E-2</v>
      </c>
      <c r="O78" s="7">
        <v>7.4999999999999997E-2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</row>
    <row r="79" spans="1:110" x14ac:dyDescent="0.45">
      <c r="A79" s="1"/>
      <c r="B79" s="1" t="s">
        <v>10</v>
      </c>
      <c r="C79" s="7">
        <f>C23/C17</f>
        <v>1.2788521522145976E-2</v>
      </c>
      <c r="D79" s="7">
        <f t="shared" ref="D79:O79" si="37">D23/D17</f>
        <v>1.3710879284649776E-2</v>
      </c>
      <c r="E79" s="7">
        <f t="shared" si="37"/>
        <v>2.1639511201629328E-2</v>
      </c>
      <c r="F79" s="7">
        <f t="shared" si="37"/>
        <v>1.4627721916771787E-2</v>
      </c>
      <c r="G79" s="7">
        <f t="shared" si="37"/>
        <v>1.4561338081625061E-2</v>
      </c>
      <c r="H79" s="7">
        <f t="shared" si="37"/>
        <v>1.5037175390606478E-2</v>
      </c>
      <c r="I79" s="7">
        <f t="shared" si="37"/>
        <v>1.5578334161557924E-2</v>
      </c>
      <c r="J79" s="7">
        <f t="shared" si="37"/>
        <v>1.6180922645664831E-2</v>
      </c>
      <c r="K79" s="7">
        <f t="shared" si="37"/>
        <v>1.7046444617566013E-2</v>
      </c>
      <c r="L79" s="7">
        <f t="shared" si="37"/>
        <v>1.7519020878647956E-2</v>
      </c>
      <c r="M79" s="7">
        <f t="shared" si="37"/>
        <v>1.8898154837541058E-2</v>
      </c>
      <c r="N79" s="7">
        <f t="shared" si="37"/>
        <v>2.0469494405680893E-2</v>
      </c>
      <c r="O79" s="7">
        <f t="shared" si="37"/>
        <v>2.2240620840528358E-2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</row>
    <row r="80" spans="1:110" x14ac:dyDescent="0.45">
      <c r="A80" s="1"/>
      <c r="B80" s="1"/>
      <c r="C80" s="4" t="s">
        <v>4</v>
      </c>
      <c r="D80" s="4" t="s">
        <v>4</v>
      </c>
      <c r="E80" s="4" t="s">
        <v>4</v>
      </c>
      <c r="F80" s="4" t="s">
        <v>4</v>
      </c>
      <c r="G80" s="4" t="s">
        <v>4</v>
      </c>
      <c r="H80" s="4" t="s">
        <v>4</v>
      </c>
      <c r="I80" s="4" t="s">
        <v>4</v>
      </c>
      <c r="J80" s="4" t="s">
        <v>4</v>
      </c>
      <c r="K80" s="4" t="s">
        <v>4</v>
      </c>
      <c r="L80" s="4" t="s">
        <v>4</v>
      </c>
      <c r="M80" s="4" t="s">
        <v>4</v>
      </c>
      <c r="N80" s="4" t="s">
        <v>4</v>
      </c>
      <c r="O80" s="4" t="s">
        <v>4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</row>
    <row r="81" spans="1:110" x14ac:dyDescent="0.45">
      <c r="A81" s="1"/>
      <c r="B81" s="1" t="s">
        <v>11</v>
      </c>
      <c r="C81" s="7">
        <f>C25/C17</f>
        <v>7.7666874610106046E-2</v>
      </c>
      <c r="D81" s="7">
        <f t="shared" ref="D81:O81" si="38">D25/D17</f>
        <v>8.792846497764531E-2</v>
      </c>
      <c r="E81" s="7">
        <f t="shared" si="38"/>
        <v>0.10412423625254583</v>
      </c>
      <c r="F81" s="7">
        <f t="shared" si="38"/>
        <v>0.10462772191677178</v>
      </c>
      <c r="G81" s="7">
        <f t="shared" si="38"/>
        <v>0.10456133808162506</v>
      </c>
      <c r="H81" s="7">
        <f t="shared" si="38"/>
        <v>0.10503717539060646</v>
      </c>
      <c r="I81" s="7">
        <f t="shared" si="38"/>
        <v>0.10557833416155792</v>
      </c>
      <c r="J81" s="7">
        <f t="shared" si="38"/>
        <v>0.10618092264566482</v>
      </c>
      <c r="K81" s="7">
        <f t="shared" si="38"/>
        <v>0.107046444617566</v>
      </c>
      <c r="L81" s="7">
        <f t="shared" si="38"/>
        <v>0.10751902087864797</v>
      </c>
      <c r="M81" s="7">
        <f t="shared" si="38"/>
        <v>0.10889815483754106</v>
      </c>
      <c r="N81" s="7">
        <f t="shared" si="38"/>
        <v>0.11046949440568089</v>
      </c>
      <c r="O81" s="7">
        <f t="shared" si="38"/>
        <v>0.11224062084052835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</row>
    <row r="82" spans="1:110" x14ac:dyDescent="0.45">
      <c r="A82" s="1"/>
      <c r="B82" s="1"/>
      <c r="C82" s="4" t="s">
        <v>4</v>
      </c>
      <c r="D82" s="4" t="s">
        <v>4</v>
      </c>
      <c r="E82" s="4" t="s">
        <v>4</v>
      </c>
      <c r="F82" s="4" t="s">
        <v>4</v>
      </c>
      <c r="G82" s="4" t="s">
        <v>4</v>
      </c>
      <c r="H82" s="4" t="s">
        <v>4</v>
      </c>
      <c r="I82" s="4" t="s">
        <v>4</v>
      </c>
      <c r="J82" s="4" t="s">
        <v>4</v>
      </c>
      <c r="K82" s="4" t="s">
        <v>4</v>
      </c>
      <c r="L82" s="4" t="s">
        <v>4</v>
      </c>
      <c r="M82" s="4" t="s">
        <v>4</v>
      </c>
      <c r="N82" s="4" t="s">
        <v>4</v>
      </c>
      <c r="O82" s="4" t="s">
        <v>4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 spans="1:110" x14ac:dyDescent="0.45">
      <c r="A83" s="1"/>
      <c r="B83" s="1" t="s">
        <v>12</v>
      </c>
      <c r="C83" s="7">
        <f>C27/C17</f>
        <v>0.20555208983156581</v>
      </c>
      <c r="D83" s="7">
        <f t="shared" ref="D83:O83" si="39">D27/D17</f>
        <v>0.16154992548435171</v>
      </c>
      <c r="E83" s="7">
        <f t="shared" si="39"/>
        <v>0.16471486761710794</v>
      </c>
      <c r="F83" s="7">
        <f t="shared" si="39"/>
        <v>0.16809111510684993</v>
      </c>
      <c r="G83" s="7">
        <f t="shared" si="39"/>
        <v>0.17232231675969203</v>
      </c>
      <c r="H83" s="7">
        <f t="shared" si="39"/>
        <v>0.18065794019963949</v>
      </c>
      <c r="I83" s="7">
        <f t="shared" si="39"/>
        <v>0.18465075018209287</v>
      </c>
      <c r="J83" s="7">
        <f t="shared" si="39"/>
        <v>0.18878920190039422</v>
      </c>
      <c r="K83" s="7">
        <f t="shared" si="39"/>
        <v>0.18271586953904342</v>
      </c>
      <c r="L83" s="7">
        <f t="shared" si="39"/>
        <v>0.17624018279975021</v>
      </c>
      <c r="M83" s="7">
        <f t="shared" si="39"/>
        <v>0.16791899831522852</v>
      </c>
      <c r="N83" s="7">
        <f t="shared" si="39"/>
        <v>0.15833729955358608</v>
      </c>
      <c r="O83" s="7">
        <f t="shared" si="39"/>
        <v>0.1473781641184346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</row>
    <row r="84" spans="1:110" x14ac:dyDescent="0.45">
      <c r="A84" s="1"/>
      <c r="B84" s="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</row>
    <row r="85" spans="1:110" x14ac:dyDescent="0.45">
      <c r="A85" s="1" t="s">
        <v>13</v>
      </c>
      <c r="B85" s="1"/>
      <c r="C85" s="7">
        <f>C29/C17</f>
        <v>4.9906425452276981E-3</v>
      </c>
      <c r="D85" s="7">
        <f t="shared" ref="D85:E85" si="40">D29/D17</f>
        <v>7.7496274217585693E-3</v>
      </c>
      <c r="E85" s="7">
        <f t="shared" si="40"/>
        <v>1.0692464358452138E-2</v>
      </c>
      <c r="F85" s="7">
        <v>0.01</v>
      </c>
      <c r="G85" s="7">
        <v>0.01</v>
      </c>
      <c r="H85" s="7">
        <v>0.01</v>
      </c>
      <c r="I85" s="7">
        <v>0.01</v>
      </c>
      <c r="J85" s="7">
        <v>0.01</v>
      </c>
      <c r="K85" s="7">
        <v>0.01</v>
      </c>
      <c r="L85" s="7">
        <v>0.01</v>
      </c>
      <c r="M85" s="7">
        <v>0.01</v>
      </c>
      <c r="N85" s="7">
        <v>0.01</v>
      </c>
      <c r="O85" s="7">
        <v>0.01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</row>
    <row r="86" spans="1:110" x14ac:dyDescent="0.45">
      <c r="A86" s="1"/>
      <c r="B86" s="1"/>
      <c r="C86" s="4" t="s">
        <v>4</v>
      </c>
      <c r="D86" s="4" t="s">
        <v>4</v>
      </c>
      <c r="E86" s="4" t="s">
        <v>4</v>
      </c>
      <c r="F86" s="4" t="s">
        <v>4</v>
      </c>
      <c r="G86" s="4" t="s">
        <v>4</v>
      </c>
      <c r="H86" s="4" t="s">
        <v>4</v>
      </c>
      <c r="I86" s="4" t="s">
        <v>4</v>
      </c>
      <c r="J86" s="4" t="s">
        <v>4</v>
      </c>
      <c r="K86" s="4" t="s">
        <v>4</v>
      </c>
      <c r="L86" s="4" t="s">
        <v>4</v>
      </c>
      <c r="M86" s="4" t="s">
        <v>4</v>
      </c>
      <c r="N86" s="4" t="s">
        <v>4</v>
      </c>
      <c r="O86" s="4" t="s">
        <v>4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</row>
    <row r="87" spans="1:110" x14ac:dyDescent="0.45">
      <c r="A87" s="1" t="s">
        <v>14</v>
      </c>
      <c r="B87" s="1"/>
      <c r="C87" s="7">
        <f>C31/C17</f>
        <v>0.21054273237679352</v>
      </c>
      <c r="D87" s="7">
        <f t="shared" ref="D87:O87" si="41">D31/D17</f>
        <v>0.16929955290611029</v>
      </c>
      <c r="E87" s="7">
        <f t="shared" si="41"/>
        <v>0.17540733197556008</v>
      </c>
      <c r="F87" s="7">
        <f t="shared" si="41"/>
        <v>0.17809111510684994</v>
      </c>
      <c r="G87" s="7">
        <f t="shared" si="41"/>
        <v>0.18232231675969202</v>
      </c>
      <c r="H87" s="7">
        <f t="shared" si="41"/>
        <v>0.19065794019963947</v>
      </c>
      <c r="I87" s="7">
        <f t="shared" si="41"/>
        <v>0.19465075018209288</v>
      </c>
      <c r="J87" s="7">
        <f t="shared" si="41"/>
        <v>0.1987892019003942</v>
      </c>
      <c r="K87" s="7">
        <f t="shared" si="41"/>
        <v>0.19271586953904343</v>
      </c>
      <c r="L87" s="7">
        <f t="shared" si="41"/>
        <v>0.18624018279975019</v>
      </c>
      <c r="M87" s="7">
        <f t="shared" si="41"/>
        <v>0.17791899831522853</v>
      </c>
      <c r="N87" s="7">
        <f t="shared" si="41"/>
        <v>0.16833729955358609</v>
      </c>
      <c r="O87" s="7">
        <f t="shared" si="41"/>
        <v>0.15737816411843461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</row>
    <row r="88" spans="1:110" x14ac:dyDescent="0.45">
      <c r="A88" s="1" t="s">
        <v>15</v>
      </c>
      <c r="B88" s="1"/>
      <c r="C88" s="7">
        <f>C32/C31</f>
        <v>0.2</v>
      </c>
      <c r="D88" s="7">
        <f t="shared" ref="D88:E88" si="42">D32/D31</f>
        <v>0.20950704225352113</v>
      </c>
      <c r="E88" s="7">
        <f t="shared" si="42"/>
        <v>0.19593613933236576</v>
      </c>
      <c r="F88" s="7">
        <v>0.2</v>
      </c>
      <c r="G88" s="7">
        <v>0.2</v>
      </c>
      <c r="H88" s="7">
        <v>0.2</v>
      </c>
      <c r="I88" s="7">
        <v>0.2</v>
      </c>
      <c r="J88" s="7">
        <v>0.2</v>
      </c>
      <c r="K88" s="7">
        <v>0.2</v>
      </c>
      <c r="L88" s="7">
        <v>0.2</v>
      </c>
      <c r="M88" s="7">
        <v>0.2</v>
      </c>
      <c r="N88" s="7">
        <v>0.2</v>
      </c>
      <c r="O88" s="7">
        <v>0.2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</row>
    <row r="89" spans="1:110" x14ac:dyDescent="0.45">
      <c r="A89" s="1"/>
      <c r="B89" s="1"/>
      <c r="C89" s="4" t="s">
        <v>4</v>
      </c>
      <c r="D89" s="4" t="s">
        <v>4</v>
      </c>
      <c r="E89" s="4" t="s">
        <v>4</v>
      </c>
      <c r="F89" s="4" t="s">
        <v>4</v>
      </c>
      <c r="G89" s="4" t="s">
        <v>4</v>
      </c>
      <c r="H89" s="4" t="s">
        <v>4</v>
      </c>
      <c r="I89" s="4" t="s">
        <v>4</v>
      </c>
      <c r="J89" s="4" t="s">
        <v>4</v>
      </c>
      <c r="K89" s="4" t="s">
        <v>4</v>
      </c>
      <c r="L89" s="4" t="s">
        <v>4</v>
      </c>
      <c r="M89" s="4" t="s">
        <v>4</v>
      </c>
      <c r="N89" s="4" t="s">
        <v>4</v>
      </c>
      <c r="O89" s="4" t="s">
        <v>4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 spans="1:110" x14ac:dyDescent="0.45">
      <c r="A90" s="1" t="s">
        <v>16</v>
      </c>
      <c r="B90" s="1"/>
      <c r="C90" s="7">
        <f>C34/C17</f>
        <v>0.1684341859014348</v>
      </c>
      <c r="D90" s="7">
        <f t="shared" ref="D90:O90" si="43">D34/D17</f>
        <v>0.13383010432190759</v>
      </c>
      <c r="E90" s="7">
        <f t="shared" si="43"/>
        <v>0.1410386965376782</v>
      </c>
      <c r="F90" s="7">
        <f t="shared" si="43"/>
        <v>0.14247289208547995</v>
      </c>
      <c r="G90" s="7">
        <f t="shared" si="43"/>
        <v>0.14585785340775362</v>
      </c>
      <c r="H90" s="7">
        <f t="shared" si="43"/>
        <v>0.15252635215971158</v>
      </c>
      <c r="I90" s="7">
        <f t="shared" si="43"/>
        <v>0.15572060014567432</v>
      </c>
      <c r="J90" s="7">
        <f t="shared" si="43"/>
        <v>0.15903136152031536</v>
      </c>
      <c r="K90" s="7">
        <f t="shared" si="43"/>
        <v>0.15417269563123476</v>
      </c>
      <c r="L90" s="7">
        <f t="shared" si="43"/>
        <v>0.14899214623980014</v>
      </c>
      <c r="M90" s="7">
        <f t="shared" si="43"/>
        <v>0.14233519865218283</v>
      </c>
      <c r="N90" s="7">
        <f t="shared" si="43"/>
        <v>0.13466983964286888</v>
      </c>
      <c r="O90" s="7">
        <f t="shared" si="43"/>
        <v>0.12590253129474768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</row>
    <row r="91" spans="1:110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 spans="1:110" x14ac:dyDescent="0.45">
      <c r="A92" s="1" t="s">
        <v>29</v>
      </c>
      <c r="B92" s="1"/>
      <c r="C92" s="6">
        <f>43+79+40+13+48</f>
        <v>223</v>
      </c>
      <c r="D92" s="6">
        <f>166+88+57+8+80</f>
        <v>399</v>
      </c>
      <c r="E92" s="5">
        <f>206+99+31+78+23+67</f>
        <v>504</v>
      </c>
      <c r="F92" s="6">
        <f>E92-F37-F131</f>
        <v>535.09666666666669</v>
      </c>
      <c r="G92" s="6">
        <f t="shared" ref="G92:O92" si="44">F92-G37-G131</f>
        <v>571.89333333333343</v>
      </c>
      <c r="H92" s="6">
        <f t="shared" si="44"/>
        <v>646.50000000000011</v>
      </c>
      <c r="I92" s="6">
        <f t="shared" si="44"/>
        <v>740.93106666666688</v>
      </c>
      <c r="J92" s="6">
        <f t="shared" si="44"/>
        <v>859.94438933333356</v>
      </c>
      <c r="K92" s="6">
        <f t="shared" si="44"/>
        <v>1001.8717652480002</v>
      </c>
      <c r="L92" s="6">
        <f t="shared" si="44"/>
        <v>1169.6705742356482</v>
      </c>
      <c r="M92" s="6">
        <f t="shared" si="44"/>
        <v>1348.5191064544135</v>
      </c>
      <c r="N92" s="6">
        <f t="shared" si="44"/>
        <v>1527.7092841698384</v>
      </c>
      <c r="O92" s="6">
        <f t="shared" si="44"/>
        <v>1693.6026191552787</v>
      </c>
      <c r="P92" s="6"/>
      <c r="Q92" s="6"/>
      <c r="R92" s="6"/>
      <c r="S92" s="6"/>
      <c r="T92" s="6"/>
      <c r="U92" s="6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</row>
    <row r="93" spans="1:110" x14ac:dyDescent="0.45">
      <c r="A93" s="1" t="s">
        <v>30</v>
      </c>
      <c r="B93" s="1"/>
      <c r="C93" s="5">
        <f>C17/C92</f>
        <v>14.376681614349776</v>
      </c>
      <c r="D93" s="5">
        <f t="shared" ref="D93:O93" si="45">D17/D92</f>
        <v>8.4085213032581461</v>
      </c>
      <c r="E93" s="5">
        <f t="shared" si="45"/>
        <v>7.7936507936507935</v>
      </c>
      <c r="F93" s="5">
        <f t="shared" si="45"/>
        <v>8.6369254153455142</v>
      </c>
      <c r="G93" s="5">
        <f t="shared" si="45"/>
        <v>9.5110209945910622</v>
      </c>
      <c r="H93" s="5">
        <f t="shared" si="45"/>
        <v>9.9051584269141504</v>
      </c>
      <c r="I93" s="5">
        <f t="shared" si="45"/>
        <v>10.178490006848136</v>
      </c>
      <c r="J93" s="5">
        <f t="shared" si="45"/>
        <v>10.331705535016862</v>
      </c>
      <c r="K93" s="5">
        <f t="shared" si="45"/>
        <v>10.276509309850852</v>
      </c>
      <c r="L93" s="5">
        <f t="shared" si="45"/>
        <v>10.028686035328413</v>
      </c>
      <c r="M93" s="5">
        <f t="shared" si="45"/>
        <v>9.7395717322786748</v>
      </c>
      <c r="N93" s="5">
        <f t="shared" si="45"/>
        <v>9.4558195707541888</v>
      </c>
      <c r="O93" s="5">
        <f t="shared" si="45"/>
        <v>9.2119619083204149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</row>
    <row r="94" spans="1:110" x14ac:dyDescent="0.45">
      <c r="A94" s="1" t="s">
        <v>31</v>
      </c>
      <c r="B94" s="1"/>
      <c r="C94" s="7">
        <f>C37/(-32)-1</f>
        <v>0.9375</v>
      </c>
      <c r="D94" s="7">
        <f>D37/C37-1</f>
        <v>1.5161290322580645</v>
      </c>
      <c r="E94" s="7">
        <f>E37/D37-1</f>
        <v>1.9230769230769162E-2</v>
      </c>
      <c r="F94" s="7">
        <f t="shared" ref="F94:H94" si="46">F37/E37-1</f>
        <v>-0.37924528301886795</v>
      </c>
      <c r="G94" s="7">
        <f t="shared" si="46"/>
        <v>0.17527862208713274</v>
      </c>
      <c r="H94" s="7">
        <f t="shared" si="46"/>
        <v>0.47327586206896566</v>
      </c>
      <c r="I94" s="7">
        <f>I65</f>
        <v>0.24</v>
      </c>
      <c r="J94" s="7">
        <f t="shared" ref="J94:O94" si="47">J65</f>
        <v>0.24</v>
      </c>
      <c r="K94" s="7">
        <f t="shared" si="47"/>
        <v>0.20799999999999999</v>
      </c>
      <c r="L94" s="7">
        <f t="shared" si="47"/>
        <v>0.17599999999999999</v>
      </c>
      <c r="M94" s="7">
        <f t="shared" si="47"/>
        <v>0.14399999999999999</v>
      </c>
      <c r="N94" s="7">
        <f t="shared" si="47"/>
        <v>0.11199999999999999</v>
      </c>
      <c r="O94" s="7">
        <f t="shared" si="47"/>
        <v>7.9999999999999988E-2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</row>
    <row r="95" spans="1:110" x14ac:dyDescent="0.45">
      <c r="A95" s="1" t="s">
        <v>32</v>
      </c>
      <c r="B95" s="1"/>
      <c r="C95" s="7">
        <f>C131/C17</f>
        <v>1.2788521522145976E-2</v>
      </c>
      <c r="D95" s="7">
        <f t="shared" ref="D95:O95" si="48">D131/D17</f>
        <v>1.3710879284649776E-2</v>
      </c>
      <c r="E95" s="7">
        <f t="shared" si="48"/>
        <v>2.1639511201629328E-2</v>
      </c>
      <c r="F95" s="7">
        <f t="shared" si="48"/>
        <v>1.4627721916771787E-2</v>
      </c>
      <c r="G95" s="7">
        <f t="shared" si="48"/>
        <v>1.4561338081625061E-2</v>
      </c>
      <c r="H95" s="7">
        <f t="shared" si="48"/>
        <v>1.5037175390606478E-2</v>
      </c>
      <c r="I95" s="7">
        <f t="shared" si="48"/>
        <v>1.5578334161557924E-2</v>
      </c>
      <c r="J95" s="7">
        <f t="shared" si="48"/>
        <v>1.6180922645664831E-2</v>
      </c>
      <c r="K95" s="7">
        <f t="shared" si="48"/>
        <v>1.7046444617566013E-2</v>
      </c>
      <c r="L95" s="7">
        <f t="shared" si="48"/>
        <v>1.7519020878647956E-2</v>
      </c>
      <c r="M95" s="7">
        <f t="shared" si="48"/>
        <v>1.8898154837541058E-2</v>
      </c>
      <c r="N95" s="7">
        <f t="shared" si="48"/>
        <v>2.0469494405680893E-2</v>
      </c>
      <c r="O95" s="7">
        <f t="shared" si="48"/>
        <v>2.2240620840528358E-2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</row>
    <row r="96" spans="1:110" x14ac:dyDescent="0.45">
      <c r="A96" s="1" t="s">
        <v>33</v>
      </c>
      <c r="B96" s="1"/>
      <c r="C96" s="13">
        <f>(1881.73-(987.94- 8.85))/C17</f>
        <v>0.2815470991890206</v>
      </c>
      <c r="D96" s="13">
        <f>(1734.84-(818.68-9.4))/D17</f>
        <v>0.27587481371087924</v>
      </c>
      <c r="E96" s="7">
        <f>(2038.19-(1005.82-16.01))/E17</f>
        <v>0.26689918533604889</v>
      </c>
      <c r="F96" s="7">
        <v>0.255</v>
      </c>
      <c r="G96" s="7">
        <v>0.25</v>
      </c>
      <c r="H96" s="7">
        <v>0.25</v>
      </c>
      <c r="I96" s="7">
        <v>0.25</v>
      </c>
      <c r="J96" s="7">
        <v>0.25</v>
      </c>
      <c r="K96" s="7">
        <v>0.25</v>
      </c>
      <c r="L96" s="7">
        <v>0.25</v>
      </c>
      <c r="M96" s="7">
        <v>0.25</v>
      </c>
      <c r="N96" s="7">
        <v>0.25</v>
      </c>
      <c r="O96" s="7">
        <v>0.25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</row>
    <row r="97" spans="1:110" x14ac:dyDescent="0.45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 spans="1:110" x14ac:dyDescent="0.45">
      <c r="A98" s="1" t="s">
        <v>34</v>
      </c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</row>
    <row r="99" spans="1:110" x14ac:dyDescent="0.45">
      <c r="A99" s="1"/>
      <c r="B99" s="1" t="s">
        <v>35</v>
      </c>
      <c r="C99" s="18">
        <v>7.0000000000000007E-2</v>
      </c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</row>
    <row r="100" spans="1:110" x14ac:dyDescent="0.45">
      <c r="A100" s="1"/>
      <c r="B100" s="1" t="s">
        <v>36</v>
      </c>
      <c r="C100" s="13">
        <v>7.0000000000000007E-2</v>
      </c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</row>
    <row r="101" spans="1:110" x14ac:dyDescent="0.45">
      <c r="A101" s="1"/>
      <c r="B101" s="1" t="s">
        <v>37</v>
      </c>
      <c r="C101">
        <v>0.66</v>
      </c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</row>
    <row r="102" spans="1:110" x14ac:dyDescent="0.45">
      <c r="A102" s="1"/>
      <c r="B102" s="1" t="s">
        <v>38</v>
      </c>
      <c r="C102" s="20">
        <f>C99+C101*C100</f>
        <v>0.11620000000000001</v>
      </c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</row>
    <row r="103" spans="1:110" x14ac:dyDescent="0.45">
      <c r="A103" s="1"/>
      <c r="B103" s="1" t="s">
        <v>39</v>
      </c>
      <c r="C103" s="18">
        <v>7.4999999999999997E-2</v>
      </c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 spans="1:110" x14ac:dyDescent="0.45">
      <c r="A104" s="1"/>
      <c r="B104" s="1" t="s">
        <v>40</v>
      </c>
      <c r="C104" s="21">
        <f>F88</f>
        <v>0.2</v>
      </c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</row>
    <row r="105" spans="1:110" x14ac:dyDescent="0.45">
      <c r="A105" s="1"/>
      <c r="B105" s="1" t="s">
        <v>41</v>
      </c>
      <c r="C105" s="23">
        <f>-F46/F45</f>
        <v>4.9105092700555894E-3</v>
      </c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 spans="1:110" x14ac:dyDescent="0.45">
      <c r="A106" s="1"/>
      <c r="B106" s="1" t="s">
        <v>42</v>
      </c>
      <c r="C106" s="19">
        <f>C105*C103*(1-C104)+(1-C105)*C102</f>
        <v>0.11592402937902289</v>
      </c>
      <c r="E106" s="22">
        <v>0.12</v>
      </c>
      <c r="F106" s="24">
        <f>E106-($E$106-11.5%)/5</f>
        <v>0.11899999999999999</v>
      </c>
      <c r="G106" s="24">
        <f t="shared" ref="G106:I106" si="49">F106-($E$106-11.5%)/5</f>
        <v>0.11799999999999999</v>
      </c>
      <c r="H106" s="24">
        <f t="shared" si="49"/>
        <v>0.11699999999999999</v>
      </c>
      <c r="I106" s="24">
        <f t="shared" si="49"/>
        <v>0.11599999999999999</v>
      </c>
      <c r="J106" s="24">
        <f>I106-($E$106-11.5%)/5</f>
        <v>0.11499999999999999</v>
      </c>
      <c r="K106" s="24">
        <v>0.11</v>
      </c>
      <c r="L106" s="24">
        <v>0.11</v>
      </c>
      <c r="M106" s="24">
        <v>0.11</v>
      </c>
      <c r="N106" s="24">
        <v>0.11</v>
      </c>
      <c r="O106" s="24">
        <v>0.11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 spans="1:110" x14ac:dyDescent="0.45">
      <c r="A107" s="1"/>
      <c r="B107" s="1"/>
      <c r="C107" s="1">
        <v>0</v>
      </c>
      <c r="D107" s="1">
        <v>0</v>
      </c>
      <c r="E107" s="1">
        <v>0</v>
      </c>
      <c r="F107" s="1">
        <v>4.5</v>
      </c>
      <c r="G107" s="1">
        <v>15</v>
      </c>
      <c r="H107" s="1">
        <f t="shared" ref="H107:O107" si="50">+G107+12</f>
        <v>27</v>
      </c>
      <c r="I107" s="1">
        <f t="shared" si="50"/>
        <v>39</v>
      </c>
      <c r="J107" s="1">
        <f t="shared" si="50"/>
        <v>51</v>
      </c>
      <c r="K107" s="1">
        <f t="shared" si="50"/>
        <v>63</v>
      </c>
      <c r="L107" s="1">
        <f t="shared" si="50"/>
        <v>75</v>
      </c>
      <c r="M107" s="1">
        <f t="shared" si="50"/>
        <v>87</v>
      </c>
      <c r="N107" s="1">
        <f t="shared" si="50"/>
        <v>99</v>
      </c>
      <c r="O107" s="1">
        <f t="shared" si="50"/>
        <v>111</v>
      </c>
      <c r="P107" s="1">
        <f>+O107+6</f>
        <v>117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</row>
    <row r="108" spans="1:110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 spans="1:110" ht="15.75" x14ac:dyDescent="0.5">
      <c r="A109" s="31" t="s">
        <v>56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</row>
    <row r="110" spans="1:110" x14ac:dyDescent="0.45">
      <c r="A110" s="30" t="s">
        <v>0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</row>
    <row r="111" spans="1:110" x14ac:dyDescent="0.45">
      <c r="A111" s="30" t="s">
        <v>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 spans="1:110" x14ac:dyDescent="0.45">
      <c r="A112" s="30" t="s">
        <v>43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</row>
    <row r="113" spans="1:110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</row>
    <row r="114" spans="1:110" x14ac:dyDescent="0.45">
      <c r="A114" s="1"/>
      <c r="B114" s="1"/>
      <c r="C114" s="1">
        <v>2022</v>
      </c>
      <c r="D114" s="1">
        <f t="shared" ref="D114:O114" si="51">+C114+1</f>
        <v>2023</v>
      </c>
      <c r="E114" s="1">
        <f t="shared" si="51"/>
        <v>2024</v>
      </c>
      <c r="F114" s="1">
        <f t="shared" si="51"/>
        <v>2025</v>
      </c>
      <c r="G114" s="1">
        <f t="shared" si="51"/>
        <v>2026</v>
      </c>
      <c r="H114" s="1">
        <f t="shared" si="51"/>
        <v>2027</v>
      </c>
      <c r="I114" s="1">
        <f t="shared" si="51"/>
        <v>2028</v>
      </c>
      <c r="J114" s="1">
        <f t="shared" si="51"/>
        <v>2029</v>
      </c>
      <c r="K114" s="1">
        <f t="shared" si="51"/>
        <v>2030</v>
      </c>
      <c r="L114" s="1">
        <f t="shared" si="51"/>
        <v>2031</v>
      </c>
      <c r="M114" s="1">
        <f t="shared" si="51"/>
        <v>2032</v>
      </c>
      <c r="N114" s="1">
        <f t="shared" si="51"/>
        <v>2033</v>
      </c>
      <c r="O114" s="1">
        <f t="shared" si="51"/>
        <v>2034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 spans="1:110" x14ac:dyDescent="0.45">
      <c r="A115" s="1"/>
      <c r="B115" s="1"/>
      <c r="C115" s="4" t="s">
        <v>4</v>
      </c>
      <c r="D115" s="4" t="s">
        <v>4</v>
      </c>
      <c r="E115" s="4" t="s">
        <v>4</v>
      </c>
      <c r="F115" s="4" t="s">
        <v>4</v>
      </c>
      <c r="G115" s="4" t="s">
        <v>4</v>
      </c>
      <c r="H115" s="4" t="s">
        <v>4</v>
      </c>
      <c r="I115" s="4" t="s">
        <v>4</v>
      </c>
      <c r="J115" s="4" t="s">
        <v>4</v>
      </c>
      <c r="K115" s="4" t="s">
        <v>4</v>
      </c>
      <c r="L115" s="4" t="s">
        <v>4</v>
      </c>
      <c r="M115" s="4" t="s">
        <v>4</v>
      </c>
      <c r="N115" s="4" t="s">
        <v>4</v>
      </c>
      <c r="O115" s="4" t="s">
        <v>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</row>
    <row r="116" spans="1:110" x14ac:dyDescent="0.45">
      <c r="A116" s="3" t="s">
        <v>50</v>
      </c>
      <c r="B116" s="1"/>
      <c r="C116" s="6"/>
      <c r="D116" s="6"/>
      <c r="F116" s="6">
        <f>$E$92/10</f>
        <v>50.4</v>
      </c>
      <c r="G116" s="6">
        <f t="shared" ref="G116:O116" si="52">$E$92/10</f>
        <v>50.4</v>
      </c>
      <c r="H116" s="6">
        <f t="shared" si="52"/>
        <v>50.4</v>
      </c>
      <c r="I116" s="6">
        <f t="shared" si="52"/>
        <v>50.4</v>
      </c>
      <c r="J116" s="6">
        <f t="shared" si="52"/>
        <v>50.4</v>
      </c>
      <c r="K116" s="6">
        <f t="shared" si="52"/>
        <v>50.4</v>
      </c>
      <c r="L116" s="6">
        <f t="shared" si="52"/>
        <v>50.4</v>
      </c>
      <c r="M116" s="6">
        <f t="shared" si="52"/>
        <v>50.4</v>
      </c>
      <c r="N116" s="6">
        <f t="shared" si="52"/>
        <v>50.4</v>
      </c>
      <c r="O116" s="6">
        <f t="shared" si="52"/>
        <v>50.4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</row>
    <row r="117" spans="1:110" x14ac:dyDescent="0.45">
      <c r="A117" s="3" t="str">
        <f>TEXT(F$114,0)&amp;" Capital Expenditures"</f>
        <v>2025 Capital Expenditures</v>
      </c>
      <c r="B117" s="1"/>
      <c r="C117" s="6"/>
      <c r="D117" s="6"/>
      <c r="E117" s="6"/>
      <c r="F117" s="6">
        <f>-$F$37/10</f>
        <v>9.870000000000001</v>
      </c>
      <c r="G117" s="6">
        <f t="shared" ref="G117:O117" si="53">-$F$37/10</f>
        <v>9.870000000000001</v>
      </c>
      <c r="H117" s="6">
        <f t="shared" si="53"/>
        <v>9.870000000000001</v>
      </c>
      <c r="I117" s="6">
        <f t="shared" si="53"/>
        <v>9.870000000000001</v>
      </c>
      <c r="J117" s="6">
        <f t="shared" si="53"/>
        <v>9.870000000000001</v>
      </c>
      <c r="K117" s="6">
        <f t="shared" si="53"/>
        <v>9.870000000000001</v>
      </c>
      <c r="L117" s="6">
        <f t="shared" si="53"/>
        <v>9.870000000000001</v>
      </c>
      <c r="M117" s="6">
        <f t="shared" si="53"/>
        <v>9.870000000000001</v>
      </c>
      <c r="N117" s="6">
        <f t="shared" si="53"/>
        <v>9.870000000000001</v>
      </c>
      <c r="O117" s="6">
        <f t="shared" si="53"/>
        <v>9.870000000000001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</row>
    <row r="118" spans="1:110" x14ac:dyDescent="0.45">
      <c r="A118" s="3" t="str">
        <f>TEXT(G$114,0)&amp;" Capital Expenditures"</f>
        <v>2026 Capital Expenditures</v>
      </c>
      <c r="B118" s="1"/>
      <c r="C118" s="6"/>
      <c r="D118" s="6"/>
      <c r="E118" s="6"/>
      <c r="F118" s="6"/>
      <c r="G118" s="6">
        <f>-$G$37/10</f>
        <v>11.6</v>
      </c>
      <c r="H118" s="6">
        <f t="shared" ref="H118:O118" si="54">-$G$37/10</f>
        <v>11.6</v>
      </c>
      <c r="I118" s="6">
        <f t="shared" si="54"/>
        <v>11.6</v>
      </c>
      <c r="J118" s="6">
        <f t="shared" si="54"/>
        <v>11.6</v>
      </c>
      <c r="K118" s="6">
        <f t="shared" si="54"/>
        <v>11.6</v>
      </c>
      <c r="L118" s="6">
        <f t="shared" si="54"/>
        <v>11.6</v>
      </c>
      <c r="M118" s="6">
        <f t="shared" si="54"/>
        <v>11.6</v>
      </c>
      <c r="N118" s="6">
        <f t="shared" si="54"/>
        <v>11.6</v>
      </c>
      <c r="O118" s="6">
        <f t="shared" si="54"/>
        <v>11.6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</row>
    <row r="119" spans="1:110" x14ac:dyDescent="0.45">
      <c r="A119" s="3" t="str">
        <f>TEXT(H$114,0)&amp;" Capital Expenditures"</f>
        <v>2027 Capital Expenditures</v>
      </c>
      <c r="B119" s="1"/>
      <c r="C119" s="6"/>
      <c r="D119" s="6"/>
      <c r="E119" s="6"/>
      <c r="F119" s="6"/>
      <c r="G119" s="6"/>
      <c r="H119" s="6">
        <f>-$H$37/10</f>
        <v>17.09</v>
      </c>
      <c r="I119" s="6">
        <f t="shared" ref="I119:O119" si="55">-$H$37/10</f>
        <v>17.09</v>
      </c>
      <c r="J119" s="6">
        <f t="shared" si="55"/>
        <v>17.09</v>
      </c>
      <c r="K119" s="6">
        <f t="shared" si="55"/>
        <v>17.09</v>
      </c>
      <c r="L119" s="6">
        <f t="shared" si="55"/>
        <v>17.09</v>
      </c>
      <c r="M119" s="6">
        <f t="shared" si="55"/>
        <v>17.09</v>
      </c>
      <c r="N119" s="6">
        <f t="shared" si="55"/>
        <v>17.09</v>
      </c>
      <c r="O119" s="6">
        <f t="shared" si="55"/>
        <v>17.09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</row>
    <row r="120" spans="1:110" x14ac:dyDescent="0.45">
      <c r="A120" s="3" t="str">
        <f>TEXT(I$114,0)&amp;" Capital Expenditures"</f>
        <v>2028 Capital Expenditures</v>
      </c>
      <c r="B120" s="1"/>
      <c r="C120" s="6"/>
      <c r="D120" s="6"/>
      <c r="E120" s="6"/>
      <c r="F120" s="6"/>
      <c r="G120" s="6"/>
      <c r="H120" s="6"/>
      <c r="I120" s="6">
        <f>-$I$37/10</f>
        <v>21.191600000000001</v>
      </c>
      <c r="J120" s="6">
        <f t="shared" ref="J120:O120" si="56">-$I$37/10</f>
        <v>21.191600000000001</v>
      </c>
      <c r="K120" s="6">
        <f t="shared" si="56"/>
        <v>21.191600000000001</v>
      </c>
      <c r="L120" s="6">
        <f t="shared" si="56"/>
        <v>21.191600000000001</v>
      </c>
      <c r="M120" s="6">
        <f t="shared" si="56"/>
        <v>21.191600000000001</v>
      </c>
      <c r="N120" s="6">
        <f t="shared" si="56"/>
        <v>21.191600000000001</v>
      </c>
      <c r="O120" s="6">
        <f t="shared" si="56"/>
        <v>21.191600000000001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</row>
    <row r="121" spans="1:110" x14ac:dyDescent="0.45">
      <c r="A121" s="3" t="str">
        <f>TEXT(J$114,0)&amp;" Capital Expenditures"</f>
        <v>2029 Capital Expenditures</v>
      </c>
      <c r="B121" s="1"/>
      <c r="C121" s="6"/>
      <c r="D121" s="6"/>
      <c r="E121" s="6"/>
      <c r="F121" s="6"/>
      <c r="G121" s="6"/>
      <c r="H121" s="6"/>
      <c r="I121" s="6"/>
      <c r="J121" s="6">
        <f>-$J$37/10</f>
        <v>26.277584000000001</v>
      </c>
      <c r="K121" s="6">
        <f t="shared" ref="K121:O121" si="57">-$J$37/10</f>
        <v>26.277584000000001</v>
      </c>
      <c r="L121" s="6">
        <f t="shared" si="57"/>
        <v>26.277584000000001</v>
      </c>
      <c r="M121" s="6">
        <f t="shared" si="57"/>
        <v>26.277584000000001</v>
      </c>
      <c r="N121" s="6">
        <f t="shared" si="57"/>
        <v>26.277584000000001</v>
      </c>
      <c r="O121" s="6">
        <f t="shared" si="57"/>
        <v>26.277584000000001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 spans="1:110" x14ac:dyDescent="0.45">
      <c r="A122" s="3" t="str">
        <f>TEXT(K$114,0)&amp;" Capital Expenditures"</f>
        <v>2030 Capital Expenditures</v>
      </c>
      <c r="B122" s="1"/>
      <c r="C122" s="6"/>
      <c r="D122" s="6"/>
      <c r="E122" s="6"/>
      <c r="F122" s="6"/>
      <c r="G122" s="6"/>
      <c r="H122" s="6"/>
      <c r="I122" s="6"/>
      <c r="J122" s="6"/>
      <c r="K122" s="6">
        <f>-$K$37/10</f>
        <v>31.743321472000002</v>
      </c>
      <c r="L122" s="6">
        <f t="shared" ref="L122:O122" si="58">-$K$37/10</f>
        <v>31.743321472000002</v>
      </c>
      <c r="M122" s="6">
        <f t="shared" si="58"/>
        <v>31.743321472000002</v>
      </c>
      <c r="N122" s="6">
        <f t="shared" si="58"/>
        <v>31.743321472000002</v>
      </c>
      <c r="O122" s="6">
        <f t="shared" si="58"/>
        <v>31.743321472000002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</row>
    <row r="123" spans="1:110" x14ac:dyDescent="0.45">
      <c r="A123" s="3" t="str">
        <f>TEXT(L$114,0)&amp;" Capital Expenditures"</f>
        <v>2031 Capital Expenditures</v>
      </c>
      <c r="B123" s="1"/>
      <c r="C123" s="6"/>
      <c r="D123" s="6"/>
      <c r="E123" s="6"/>
      <c r="F123" s="6"/>
      <c r="G123" s="6"/>
      <c r="H123" s="6"/>
      <c r="I123" s="6"/>
      <c r="J123" s="6"/>
      <c r="K123" s="6"/>
      <c r="L123" s="6">
        <f>-$L$37/10</f>
        <v>37.330146051071999</v>
      </c>
      <c r="M123" s="6">
        <f t="shared" ref="M123:O123" si="59">-$L$37/10</f>
        <v>37.330146051071999</v>
      </c>
      <c r="N123" s="6">
        <f t="shared" si="59"/>
        <v>37.330146051071999</v>
      </c>
      <c r="O123" s="6">
        <f t="shared" si="59"/>
        <v>37.330146051071999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</row>
    <row r="124" spans="1:110" x14ac:dyDescent="0.45">
      <c r="A124" s="3" t="str">
        <f>TEXT(M$114,0)&amp;" Capital Expenditures"</f>
        <v>2032 Capital Expenditures</v>
      </c>
      <c r="B124" s="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>
        <f>-$M$37/10</f>
        <v>42.705687082426365</v>
      </c>
      <c r="N124" s="6">
        <f t="shared" ref="N124:O124" si="60">-$M$37/10</f>
        <v>42.705687082426365</v>
      </c>
      <c r="O124" s="6">
        <f t="shared" si="60"/>
        <v>42.705687082426365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</row>
    <row r="125" spans="1:110" x14ac:dyDescent="0.45">
      <c r="A125" s="3" t="str">
        <f>TEXT(N$114,0)&amp;" Capital Expenditures"</f>
        <v>2033 Capital Expenditures</v>
      </c>
      <c r="B125" s="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>
        <f>-$N$37/10</f>
        <v>47.488724035658116</v>
      </c>
      <c r="O125" s="6">
        <f>-$N$37/10</f>
        <v>47.488724035658116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</row>
    <row r="126" spans="1:110" x14ac:dyDescent="0.45">
      <c r="A126" s="3" t="str">
        <f>TEXT(O$114,0)&amp;" Capital Expenditures"</f>
        <v>2034 Capital Expenditures</v>
      </c>
      <c r="B126" s="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>
        <f>-$O$37/10</f>
        <v>51.287821958510769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</row>
    <row r="127" spans="1:110" x14ac:dyDescent="0.45">
      <c r="A127" s="1"/>
      <c r="B127" s="1"/>
      <c r="C127" s="4"/>
      <c r="D127" s="4" t="s">
        <v>4</v>
      </c>
      <c r="E127" s="4" t="s">
        <v>4</v>
      </c>
      <c r="F127" s="4" t="s">
        <v>4</v>
      </c>
      <c r="G127" s="4" t="s">
        <v>4</v>
      </c>
      <c r="H127" s="4" t="s">
        <v>4</v>
      </c>
      <c r="I127" s="4" t="s">
        <v>4</v>
      </c>
      <c r="J127" s="4" t="s">
        <v>4</v>
      </c>
      <c r="K127" s="4" t="s">
        <v>4</v>
      </c>
      <c r="L127" s="4" t="s">
        <v>4</v>
      </c>
      <c r="M127" s="4" t="s">
        <v>4</v>
      </c>
      <c r="N127" s="4" t="s">
        <v>4</v>
      </c>
      <c r="O127" s="4" t="s">
        <v>4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 spans="1:110" x14ac:dyDescent="0.45">
      <c r="A128" s="1" t="s">
        <v>44</v>
      </c>
      <c r="B128" s="1"/>
      <c r="C128" s="6"/>
      <c r="D128" s="6">
        <v>15</v>
      </c>
      <c r="E128" s="6">
        <v>41</v>
      </c>
      <c r="F128" s="6">
        <f>SUM(F116:F126)</f>
        <v>60.269999999999996</v>
      </c>
      <c r="G128" s="6">
        <f t="shared" ref="G128:O128" si="61">SUM(G116:G126)</f>
        <v>71.86999999999999</v>
      </c>
      <c r="H128" s="6">
        <f t="shared" si="61"/>
        <v>88.96</v>
      </c>
      <c r="I128" s="6">
        <f t="shared" si="61"/>
        <v>110.1516</v>
      </c>
      <c r="J128" s="6">
        <f t="shared" si="61"/>
        <v>136.42918399999999</v>
      </c>
      <c r="K128" s="6">
        <f t="shared" si="61"/>
        <v>168.17250547199998</v>
      </c>
      <c r="L128" s="6">
        <f t="shared" si="61"/>
        <v>205.50265152307199</v>
      </c>
      <c r="M128" s="6">
        <f t="shared" si="61"/>
        <v>248.20833860549834</v>
      </c>
      <c r="N128" s="6">
        <f t="shared" si="61"/>
        <v>295.69706264115644</v>
      </c>
      <c r="O128" s="6">
        <f t="shared" si="61"/>
        <v>346.98488459966723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</row>
    <row r="129" spans="1:110" x14ac:dyDescent="0.45">
      <c r="A129" s="1" t="s">
        <v>45</v>
      </c>
      <c r="B129" s="1"/>
      <c r="C129" s="6"/>
      <c r="D129" s="6">
        <f>D131-D128</f>
        <v>31</v>
      </c>
      <c r="E129" s="6">
        <f>E131-E128</f>
        <v>44</v>
      </c>
      <c r="F129" s="6">
        <f>(52-8)/6</f>
        <v>7.333333333333333</v>
      </c>
      <c r="G129" s="6">
        <f t="shared" ref="G129:K129" si="62">(52-8)/6</f>
        <v>7.333333333333333</v>
      </c>
      <c r="H129" s="6">
        <f t="shared" si="62"/>
        <v>7.333333333333333</v>
      </c>
      <c r="I129" s="6">
        <f t="shared" si="62"/>
        <v>7.333333333333333</v>
      </c>
      <c r="J129" s="6">
        <f t="shared" si="62"/>
        <v>7.333333333333333</v>
      </c>
      <c r="K129" s="6">
        <f t="shared" si="62"/>
        <v>7.333333333333333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</row>
    <row r="130" spans="1:110" x14ac:dyDescent="0.45">
      <c r="A130" s="1"/>
      <c r="B130" s="1"/>
      <c r="C130" s="4" t="s">
        <v>4</v>
      </c>
      <c r="D130" s="4" t="s">
        <v>4</v>
      </c>
      <c r="E130" s="4" t="s">
        <v>4</v>
      </c>
      <c r="F130" s="4" t="s">
        <v>4</v>
      </c>
      <c r="G130" s="4" t="s">
        <v>4</v>
      </c>
      <c r="H130" s="4" t="s">
        <v>4</v>
      </c>
      <c r="I130" s="4" t="s">
        <v>4</v>
      </c>
      <c r="J130" s="4" t="s">
        <v>4</v>
      </c>
      <c r="K130" s="4" t="s">
        <v>4</v>
      </c>
      <c r="L130" s="4" t="s">
        <v>4</v>
      </c>
      <c r="M130" s="4" t="s">
        <v>4</v>
      </c>
      <c r="N130" s="4" t="s">
        <v>4</v>
      </c>
      <c r="O130" s="4" t="s">
        <v>4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</row>
    <row r="131" spans="1:110" x14ac:dyDescent="0.45">
      <c r="A131" s="1" t="s">
        <v>46</v>
      </c>
      <c r="B131" s="1"/>
      <c r="C131" s="6">
        <f>+C23</f>
        <v>41</v>
      </c>
      <c r="D131" s="6">
        <f>+D23</f>
        <v>46</v>
      </c>
      <c r="E131" s="6">
        <f>+E23</f>
        <v>85</v>
      </c>
      <c r="F131" s="6">
        <f>F128+F129</f>
        <v>67.603333333333325</v>
      </c>
      <c r="G131" s="6">
        <f t="shared" ref="G131:O131" si="63">G128+G129</f>
        <v>79.203333333333319</v>
      </c>
      <c r="H131" s="6">
        <f t="shared" si="63"/>
        <v>96.293333333333322</v>
      </c>
      <c r="I131" s="6">
        <f t="shared" si="63"/>
        <v>117.48493333333333</v>
      </c>
      <c r="J131" s="6">
        <f t="shared" si="63"/>
        <v>143.76251733333334</v>
      </c>
      <c r="K131" s="6">
        <f t="shared" si="63"/>
        <v>175.50583880533333</v>
      </c>
      <c r="L131" s="6">
        <f t="shared" si="63"/>
        <v>205.50265152307199</v>
      </c>
      <c r="M131" s="6">
        <f t="shared" si="63"/>
        <v>248.20833860549834</v>
      </c>
      <c r="N131" s="6">
        <f t="shared" si="63"/>
        <v>295.69706264115644</v>
      </c>
      <c r="O131" s="6">
        <f t="shared" si="63"/>
        <v>346.98488459966723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</row>
    <row r="132" spans="1:110" x14ac:dyDescent="0.45">
      <c r="A132" s="1"/>
      <c r="B132" s="1"/>
      <c r="C132" s="8" t="s">
        <v>47</v>
      </c>
      <c r="D132" s="8" t="s">
        <v>47</v>
      </c>
      <c r="E132" s="8" t="s">
        <v>47</v>
      </c>
      <c r="F132" s="8" t="s">
        <v>47</v>
      </c>
      <c r="G132" s="8" t="s">
        <v>47</v>
      </c>
      <c r="H132" s="8" t="s">
        <v>47</v>
      </c>
      <c r="I132" s="8" t="s">
        <v>47</v>
      </c>
      <c r="J132" s="8" t="s">
        <v>47</v>
      </c>
      <c r="K132" s="8" t="s">
        <v>47</v>
      </c>
      <c r="L132" s="8" t="s">
        <v>47</v>
      </c>
      <c r="M132" s="8" t="s">
        <v>47</v>
      </c>
      <c r="N132" s="8" t="s">
        <v>47</v>
      </c>
      <c r="O132" s="8" t="s">
        <v>47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</row>
    <row r="133" spans="1:110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</row>
    <row r="134" spans="1:110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</row>
    <row r="135" spans="1:110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</row>
    <row r="136" spans="1:110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 spans="1:110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</row>
    <row r="138" spans="1:110" x14ac:dyDescent="0.45">
      <c r="A138" s="1"/>
      <c r="B138" s="1"/>
      <c r="C138" s="24">
        <f>C8/C17</f>
        <v>7.8602620087336247E-2</v>
      </c>
      <c r="D138" s="24">
        <f t="shared" ref="D138:O138" si="64">D8/D17</f>
        <v>9.0312965722801786E-2</v>
      </c>
      <c r="E138" s="24">
        <f t="shared" si="64"/>
        <v>9.3940936863543795E-2</v>
      </c>
      <c r="F138" s="24">
        <f t="shared" si="64"/>
        <v>9.900488792818056E-2</v>
      </c>
      <c r="G138" s="24">
        <f t="shared" si="64"/>
        <v>0.10431038833288798</v>
      </c>
      <c r="H138" s="24">
        <f t="shared" si="64"/>
        <v>0.10986553280800761</v>
      </c>
      <c r="I138" s="24">
        <f t="shared" si="64"/>
        <v>0.11567831326109072</v>
      </c>
      <c r="J138" s="24">
        <f t="shared" si="64"/>
        <v>0.12175656993084494</v>
      </c>
      <c r="K138" s="24">
        <f t="shared" si="64"/>
        <v>0.12692406381248017</v>
      </c>
      <c r="L138" s="24">
        <f t="shared" si="64"/>
        <v>0.13100909555353307</v>
      </c>
      <c r="M138" s="24">
        <f t="shared" si="64"/>
        <v>0.13385608164507462</v>
      </c>
      <c r="N138" s="24">
        <f t="shared" si="64"/>
        <v>0.1353318332826704</v>
      </c>
      <c r="O138" s="24">
        <f t="shared" si="64"/>
        <v>0.1353318332826704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</row>
    <row r="139" spans="1:110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</row>
    <row r="140" spans="1:110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 spans="1:110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</row>
    <row r="142" spans="1:110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</row>
    <row r="143" spans="1:110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</row>
    <row r="144" spans="1:110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</row>
    <row r="145" spans="1:110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</row>
    <row r="146" spans="1:110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</row>
    <row r="147" spans="1:110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</row>
    <row r="148" spans="1:110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 spans="1:110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 spans="1:110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  <row r="151" spans="1:110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</row>
    <row r="152" spans="1:110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</row>
    <row r="153" spans="1:110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</row>
    <row r="154" spans="1:110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</row>
    <row r="155" spans="1:110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</row>
    <row r="156" spans="1:110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</row>
    <row r="157" spans="1:110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</row>
    <row r="158" spans="1:110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</row>
    <row r="159" spans="1:110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</row>
    <row r="160" spans="1:110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</row>
    <row r="161" spans="1:110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</row>
    <row r="162" spans="1:110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</row>
    <row r="163" spans="1:110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</row>
    <row r="164" spans="1:110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</row>
    <row r="165" spans="1:110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</row>
    <row r="166" spans="1:110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</row>
    <row r="167" spans="1:110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</row>
    <row r="168" spans="1:110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</row>
    <row r="169" spans="1:110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</row>
    <row r="170" spans="1:110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</row>
    <row r="171" spans="1:110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</row>
    <row r="172" spans="1:110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</row>
    <row r="173" spans="1:110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</row>
    <row r="174" spans="1:110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</row>
    <row r="175" spans="1:110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</row>
    <row r="176" spans="1:110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</row>
    <row r="177" spans="1:110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</row>
    <row r="178" spans="1:110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</row>
    <row r="179" spans="1:110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</row>
    <row r="180" spans="1:110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</row>
    <row r="181" spans="1:110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</row>
    <row r="182" spans="1:110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</row>
    <row r="183" spans="1:110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</row>
    <row r="184" spans="1:110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</row>
    <row r="185" spans="1:110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</row>
    <row r="186" spans="1:110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</row>
    <row r="187" spans="1:110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</row>
    <row r="188" spans="1:110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</row>
    <row r="189" spans="1:110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</row>
    <row r="190" spans="1:110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</row>
    <row r="191" spans="1:110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</row>
    <row r="192" spans="1:110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</row>
    <row r="193" spans="1:110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</row>
    <row r="194" spans="1:110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</row>
    <row r="195" spans="1:110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</row>
    <row r="196" spans="1:110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</row>
    <row r="197" spans="1:110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</row>
    <row r="198" spans="1:110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</row>
    <row r="199" spans="1:110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</row>
    <row r="200" spans="1:110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</row>
    <row r="201" spans="1:110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</row>
    <row r="202" spans="1:110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</row>
    <row r="203" spans="1:110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</row>
    <row r="204" spans="1:110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</row>
    <row r="205" spans="1:110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</row>
    <row r="206" spans="1:110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</row>
    <row r="207" spans="1:110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</row>
    <row r="208" spans="1:110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</row>
    <row r="209" spans="1:110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</row>
    <row r="210" spans="1:110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</row>
    <row r="211" spans="1:110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</row>
    <row r="212" spans="1:110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</row>
    <row r="213" spans="1:110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</row>
    <row r="214" spans="1:110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</row>
    <row r="215" spans="1:110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</row>
    <row r="216" spans="1:110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</row>
    <row r="217" spans="1:110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</row>
    <row r="218" spans="1:110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</row>
    <row r="219" spans="1:110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</row>
    <row r="220" spans="1:110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</row>
    <row r="221" spans="1:110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</row>
    <row r="222" spans="1:110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</row>
    <row r="223" spans="1:110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</row>
    <row r="224" spans="1:110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</row>
    <row r="225" spans="1:110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</row>
    <row r="226" spans="1:110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</row>
    <row r="227" spans="1:110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</row>
    <row r="228" spans="1:110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</row>
    <row r="229" spans="1:110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</row>
    <row r="230" spans="1:110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</row>
    <row r="231" spans="1:110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</row>
    <row r="232" spans="1:110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</row>
    <row r="233" spans="1:110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</row>
    <row r="234" spans="1:110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</row>
    <row r="235" spans="1:110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</row>
    <row r="236" spans="1:110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</row>
    <row r="237" spans="1:110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</row>
    <row r="238" spans="1:110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</row>
    <row r="239" spans="1:110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</row>
    <row r="240" spans="1:110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</row>
    <row r="241" spans="1:110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</row>
    <row r="242" spans="1:110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</row>
    <row r="243" spans="1:110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</row>
    <row r="244" spans="1:110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</row>
    <row r="245" spans="1:110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</row>
    <row r="246" spans="1:110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</row>
    <row r="247" spans="1:110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</row>
    <row r="248" spans="1:110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</row>
    <row r="249" spans="1:110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</row>
    <row r="250" spans="1:110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</row>
    <row r="251" spans="1:110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</row>
    <row r="252" spans="1:110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</row>
    <row r="253" spans="1:110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</row>
    <row r="254" spans="1:110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</row>
    <row r="255" spans="1:110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</row>
    <row r="256" spans="1:110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</row>
    <row r="257" spans="1:110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</row>
    <row r="258" spans="1:110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</row>
    <row r="259" spans="1:110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</row>
    <row r="260" spans="1:110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</row>
    <row r="261" spans="1:110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</row>
    <row r="262" spans="1:110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</row>
    <row r="263" spans="1:110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</row>
    <row r="264" spans="1:110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</row>
    <row r="265" spans="1:110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</row>
    <row r="266" spans="1:110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</row>
    <row r="267" spans="1:110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</row>
    <row r="268" spans="1:110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</row>
    <row r="269" spans="1:110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</row>
    <row r="270" spans="1:110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</row>
    <row r="271" spans="1:110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</row>
    <row r="272" spans="1:110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</row>
    <row r="273" spans="1:110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</row>
    <row r="274" spans="1:110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</row>
    <row r="275" spans="1:110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</row>
    <row r="276" spans="1:110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</row>
    <row r="277" spans="1:110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</row>
    <row r="278" spans="1:110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</row>
    <row r="279" spans="1:110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</row>
    <row r="280" spans="1:110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</row>
    <row r="281" spans="1:110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</row>
    <row r="282" spans="1:110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</row>
    <row r="283" spans="1:110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</row>
    <row r="284" spans="1:110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</row>
    <row r="285" spans="1:110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</row>
    <row r="286" spans="1:110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</row>
    <row r="287" spans="1:110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</row>
    <row r="288" spans="1:110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</row>
    <row r="289" spans="1:110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</row>
    <row r="290" spans="1:110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</row>
    <row r="291" spans="1:110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</row>
    <row r="292" spans="1:110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</row>
    <row r="293" spans="1:110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</row>
    <row r="294" spans="1:110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</row>
    <row r="295" spans="1:110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</row>
    <row r="296" spans="1:110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</row>
    <row r="297" spans="1:110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</row>
    <row r="298" spans="1:110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</row>
    <row r="299" spans="1:110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</row>
    <row r="300" spans="1:110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</row>
    <row r="301" spans="1:110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</row>
    <row r="302" spans="1:110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</row>
    <row r="303" spans="1:110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</row>
    <row r="304" spans="1:110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</row>
    <row r="305" spans="1:110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</row>
    <row r="306" spans="1:110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</row>
    <row r="307" spans="1:110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</row>
    <row r="308" spans="1:110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</row>
    <row r="309" spans="1:110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</row>
    <row r="310" spans="1:110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</row>
    <row r="311" spans="1:110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</row>
    <row r="312" spans="1:110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</row>
    <row r="313" spans="1:110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</row>
    <row r="314" spans="1:110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</row>
    <row r="315" spans="1:110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</row>
    <row r="316" spans="1:110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</row>
    <row r="317" spans="1:110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</row>
    <row r="318" spans="1:110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</row>
    <row r="319" spans="1:110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</row>
    <row r="320" spans="1:110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</row>
    <row r="321" spans="1:110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</row>
    <row r="322" spans="1:110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</row>
    <row r="323" spans="1:110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</row>
    <row r="324" spans="1:110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</row>
    <row r="325" spans="1:110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</row>
    <row r="326" spans="1:110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</row>
    <row r="327" spans="1:110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</row>
    <row r="328" spans="1:110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</row>
    <row r="329" spans="1:110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</row>
    <row r="330" spans="1:110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</row>
    <row r="331" spans="1:110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</row>
    <row r="332" spans="1:110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</row>
    <row r="333" spans="1:110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</row>
    <row r="334" spans="1:110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</row>
    <row r="335" spans="1:110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</row>
    <row r="336" spans="1:110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</row>
    <row r="337" spans="1:110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</row>
    <row r="338" spans="1:110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</row>
    <row r="339" spans="1:110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</row>
    <row r="340" spans="1:110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</row>
    <row r="341" spans="1:110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</row>
    <row r="342" spans="1:110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</row>
    <row r="343" spans="1:110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</row>
    <row r="344" spans="1:110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</row>
    <row r="345" spans="1:110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</row>
    <row r="346" spans="1:110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</row>
    <row r="347" spans="1:110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</row>
    <row r="348" spans="1:110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</row>
    <row r="349" spans="1:110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</row>
    <row r="350" spans="1:110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</row>
    <row r="351" spans="1:110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</row>
    <row r="352" spans="1:110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</row>
    <row r="353" spans="1:110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</row>
    <row r="354" spans="1:110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</row>
    <row r="355" spans="1:110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</row>
    <row r="356" spans="1:110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</row>
    <row r="357" spans="1:110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</row>
    <row r="358" spans="1:110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</row>
    <row r="359" spans="1:110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</row>
    <row r="360" spans="1:110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</row>
    <row r="361" spans="1:110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</row>
    <row r="362" spans="1:110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</row>
    <row r="363" spans="1:110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</row>
    <row r="364" spans="1:110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</row>
    <row r="365" spans="1:110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</row>
    <row r="366" spans="1:110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</row>
    <row r="367" spans="1:110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</row>
    <row r="368" spans="1:110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</row>
    <row r="369" spans="1:110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</row>
    <row r="370" spans="1:110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</row>
    <row r="371" spans="1:110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</row>
    <row r="372" spans="1:110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</row>
    <row r="373" spans="1:110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</row>
    <row r="374" spans="1:110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</row>
    <row r="375" spans="1:110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</row>
    <row r="376" spans="1:110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</row>
    <row r="377" spans="1:110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</row>
    <row r="378" spans="1:110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</row>
    <row r="379" spans="1:110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</row>
    <row r="380" spans="1:110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</row>
    <row r="381" spans="1:110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</row>
    <row r="382" spans="1:110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</row>
    <row r="383" spans="1:110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</row>
    <row r="384" spans="1:110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</row>
    <row r="385" spans="1:110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</row>
    <row r="386" spans="1:110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</row>
    <row r="387" spans="1:110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</row>
    <row r="388" spans="1:110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</row>
    <row r="389" spans="1:110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</row>
    <row r="390" spans="1:110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</row>
    <row r="391" spans="1:110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</row>
    <row r="392" spans="1:110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</row>
    <row r="393" spans="1:110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</row>
    <row r="394" spans="1:110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</row>
    <row r="395" spans="1:110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</row>
    <row r="396" spans="1:110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</row>
    <row r="397" spans="1:110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</row>
    <row r="398" spans="1:110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</row>
    <row r="399" spans="1:110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</row>
    <row r="400" spans="1:110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</row>
    <row r="401" spans="1:110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</row>
    <row r="402" spans="1:110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</row>
    <row r="403" spans="1:110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</row>
    <row r="404" spans="1:110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</row>
    <row r="405" spans="1:110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</row>
    <row r="406" spans="1:110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</row>
    <row r="407" spans="1:110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</row>
    <row r="408" spans="1:110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</row>
    <row r="409" spans="1:110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</row>
    <row r="410" spans="1:110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</row>
    <row r="411" spans="1:110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</row>
    <row r="412" spans="1:110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</row>
    <row r="413" spans="1:110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</row>
    <row r="414" spans="1:110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</row>
    <row r="415" spans="1:110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</row>
    <row r="416" spans="1:110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</row>
    <row r="417" spans="1:110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</row>
    <row r="418" spans="1:110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</row>
    <row r="419" spans="1:110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</row>
    <row r="420" spans="1:110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</row>
    <row r="421" spans="1:110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</row>
    <row r="422" spans="1:110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</row>
    <row r="423" spans="1:110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</row>
    <row r="424" spans="1:110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</row>
    <row r="425" spans="1:110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</row>
    <row r="426" spans="1:110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</row>
    <row r="427" spans="1:110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</row>
    <row r="428" spans="1:110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</row>
    <row r="429" spans="1:110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</row>
    <row r="430" spans="1:110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</row>
    <row r="431" spans="1:110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</row>
    <row r="432" spans="1:110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</row>
    <row r="433" spans="1:110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</row>
    <row r="434" spans="1:110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</row>
    <row r="435" spans="1:110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</row>
    <row r="436" spans="1:110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</row>
    <row r="437" spans="1:110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</row>
    <row r="438" spans="1:110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</row>
    <row r="439" spans="1:110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</row>
    <row r="440" spans="1:110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</row>
    <row r="441" spans="1:110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</row>
    <row r="442" spans="1:110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</row>
    <row r="443" spans="1:110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</row>
    <row r="444" spans="1:110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</row>
    <row r="445" spans="1:110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</row>
    <row r="446" spans="1:110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</row>
    <row r="447" spans="1:110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</row>
    <row r="448" spans="1:110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</row>
    <row r="449" spans="1:110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</row>
    <row r="450" spans="1:110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</row>
    <row r="451" spans="1:110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</row>
    <row r="452" spans="1:110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</row>
    <row r="453" spans="1:110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</row>
    <row r="454" spans="1:110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</row>
    <row r="455" spans="1:110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</row>
    <row r="456" spans="1:110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</row>
    <row r="457" spans="1:110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</row>
    <row r="458" spans="1:110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</row>
    <row r="459" spans="1:110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</row>
    <row r="460" spans="1:110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</row>
    <row r="461" spans="1:110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</row>
    <row r="462" spans="1:110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</row>
    <row r="463" spans="1:110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</row>
    <row r="464" spans="1:110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</row>
    <row r="465" spans="1:110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</row>
    <row r="466" spans="1:110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</row>
    <row r="467" spans="1:110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</row>
    <row r="468" spans="1:110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</row>
    <row r="469" spans="1:110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</row>
    <row r="470" spans="1:110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</row>
    <row r="471" spans="1:110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</row>
    <row r="472" spans="1:110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</row>
    <row r="473" spans="1:110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</row>
    <row r="474" spans="1:110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</row>
    <row r="475" spans="1:110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</row>
    <row r="476" spans="1:110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</row>
    <row r="477" spans="1:110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</row>
    <row r="478" spans="1:110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</row>
    <row r="479" spans="1:110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</row>
    <row r="480" spans="1:110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</row>
    <row r="481" spans="1:110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</row>
    <row r="482" spans="1:110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</row>
    <row r="483" spans="1:110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</row>
    <row r="484" spans="1:110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</row>
    <row r="485" spans="1:110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</row>
    <row r="486" spans="1:110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</row>
    <row r="487" spans="1:110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</row>
    <row r="488" spans="1:110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</row>
    <row r="489" spans="1:110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</row>
    <row r="490" spans="1:110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</row>
    <row r="491" spans="1:110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</row>
    <row r="492" spans="1:110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</row>
    <row r="493" spans="1:110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</row>
    <row r="494" spans="1:110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</row>
    <row r="495" spans="1:110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</row>
    <row r="496" spans="1:110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</row>
    <row r="497" spans="1:110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</row>
    <row r="498" spans="1:110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</row>
    <row r="499" spans="1:110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</row>
    <row r="500" spans="1:110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</row>
    <row r="501" spans="1:110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</row>
    <row r="502" spans="1:110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</row>
    <row r="503" spans="1:110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</row>
    <row r="504" spans="1:110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</row>
    <row r="505" spans="1:110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</row>
    <row r="506" spans="1:110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</row>
    <row r="507" spans="1:110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</row>
    <row r="508" spans="1:110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</row>
    <row r="509" spans="1:110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</row>
    <row r="510" spans="1:110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</row>
    <row r="511" spans="1:110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</row>
    <row r="512" spans="1:110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</row>
    <row r="513" spans="1:110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</row>
    <row r="514" spans="1:110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</row>
    <row r="515" spans="1:110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</row>
    <row r="516" spans="1:110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</row>
    <row r="517" spans="1:110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</row>
    <row r="518" spans="1:110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</row>
    <row r="519" spans="1:110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</row>
    <row r="520" spans="1:110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</row>
    <row r="521" spans="1:110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</row>
    <row r="522" spans="1:110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</row>
    <row r="523" spans="1:110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</row>
    <row r="524" spans="1:110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</row>
    <row r="525" spans="1:110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</row>
    <row r="526" spans="1:110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</row>
    <row r="527" spans="1:110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</row>
    <row r="528" spans="1:110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</row>
    <row r="529" spans="1:110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</row>
    <row r="530" spans="1:110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</row>
    <row r="531" spans="1:110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</row>
    <row r="532" spans="1:110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</row>
    <row r="533" spans="1:110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</row>
    <row r="534" spans="1:110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</row>
    <row r="535" spans="1:110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</row>
    <row r="536" spans="1:110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</row>
    <row r="537" spans="1:110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</row>
    <row r="538" spans="1:110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</row>
    <row r="539" spans="1:110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</row>
    <row r="540" spans="1:110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</row>
    <row r="541" spans="1:110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</row>
    <row r="542" spans="1:110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</row>
    <row r="543" spans="1:110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</row>
    <row r="544" spans="1:110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</row>
    <row r="545" spans="1:110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</row>
    <row r="546" spans="1:110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</row>
    <row r="547" spans="1:110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</row>
    <row r="548" spans="1:110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</row>
    <row r="549" spans="1:110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</row>
    <row r="550" spans="1:110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</row>
    <row r="551" spans="1:110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</row>
    <row r="552" spans="1:110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</row>
    <row r="553" spans="1:110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</row>
    <row r="554" spans="1:110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</row>
    <row r="555" spans="1:110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</row>
    <row r="556" spans="1:110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</row>
    <row r="557" spans="1:110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</row>
    <row r="558" spans="1:110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</row>
    <row r="559" spans="1:110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</row>
    <row r="560" spans="1:110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</row>
    <row r="561" spans="1:110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</row>
    <row r="562" spans="1:110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</row>
    <row r="563" spans="1:110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</row>
    <row r="564" spans="1:110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</row>
    <row r="565" spans="1:110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</row>
    <row r="566" spans="1:110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</row>
    <row r="567" spans="1:110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</row>
    <row r="568" spans="1:110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</row>
    <row r="569" spans="1:110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</row>
    <row r="570" spans="1:110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</row>
    <row r="571" spans="1:110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</row>
    <row r="572" spans="1:110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</row>
    <row r="573" spans="1:110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</row>
    <row r="574" spans="1:110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</row>
    <row r="575" spans="1:110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</row>
    <row r="576" spans="1:110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</row>
    <row r="577" spans="1:110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</row>
    <row r="578" spans="1:110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</row>
    <row r="579" spans="1:110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</row>
    <row r="580" spans="1:110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</row>
    <row r="581" spans="1:110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</row>
    <row r="582" spans="1:110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</row>
    <row r="583" spans="1:110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</row>
    <row r="584" spans="1:110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</row>
    <row r="585" spans="1:110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</row>
    <row r="586" spans="1:110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</row>
    <row r="587" spans="1:110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</row>
    <row r="588" spans="1:110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</row>
    <row r="589" spans="1:110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</row>
    <row r="590" spans="1:110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</row>
    <row r="591" spans="1:110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</row>
    <row r="592" spans="1:110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</row>
    <row r="593" spans="1:110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</row>
    <row r="594" spans="1:110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</row>
    <row r="595" spans="1:110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</row>
    <row r="596" spans="1:110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</row>
    <row r="597" spans="1:110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</row>
    <row r="598" spans="1:110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</row>
    <row r="599" spans="1:110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</row>
    <row r="600" spans="1:110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</row>
    <row r="601" spans="1:110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</row>
    <row r="602" spans="1:110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</row>
    <row r="603" spans="1:110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</row>
    <row r="604" spans="1:110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</row>
    <row r="605" spans="1:110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</row>
    <row r="606" spans="1:110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</row>
    <row r="607" spans="1:110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</row>
    <row r="608" spans="1:110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</row>
    <row r="609" spans="1:110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</row>
    <row r="610" spans="1:110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</row>
    <row r="611" spans="1:110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</row>
    <row r="612" spans="1:110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</row>
    <row r="613" spans="1:110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</row>
    <row r="614" spans="1:110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</row>
    <row r="615" spans="1:110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</row>
    <row r="616" spans="1:110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</row>
    <row r="617" spans="1:110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</row>
    <row r="618" spans="1:110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</row>
    <row r="619" spans="1:110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</row>
    <row r="620" spans="1:110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</row>
    <row r="621" spans="1:110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</row>
    <row r="622" spans="1:110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</row>
    <row r="623" spans="1:110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</row>
    <row r="624" spans="1:110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</row>
    <row r="625" spans="1:110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</row>
    <row r="626" spans="1:110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</row>
    <row r="627" spans="1:110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</row>
    <row r="628" spans="1:110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</row>
    <row r="629" spans="1:110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</row>
    <row r="630" spans="1:110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</row>
    <row r="631" spans="1:110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</row>
    <row r="632" spans="1:110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</row>
    <row r="633" spans="1:110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</row>
    <row r="634" spans="1:110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</row>
    <row r="635" spans="1:110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</row>
    <row r="636" spans="1:110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</row>
    <row r="637" spans="1:110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</row>
    <row r="638" spans="1:110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</row>
    <row r="639" spans="1:110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</row>
    <row r="640" spans="1:110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</row>
    <row r="641" spans="1:110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</row>
    <row r="642" spans="1:110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</row>
    <row r="643" spans="1:110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</row>
    <row r="644" spans="1:110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</row>
    <row r="645" spans="1:110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</row>
    <row r="646" spans="1:110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</row>
    <row r="647" spans="1:110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</row>
    <row r="648" spans="1:110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</row>
    <row r="649" spans="1:110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</row>
    <row r="650" spans="1:110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</row>
    <row r="651" spans="1:110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</row>
    <row r="652" spans="1:110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</row>
    <row r="653" spans="1:110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</row>
    <row r="654" spans="1:110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</row>
    <row r="655" spans="1:110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</row>
    <row r="656" spans="1:110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</row>
    <row r="657" spans="1:110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</row>
    <row r="658" spans="1:110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</row>
    <row r="659" spans="1:110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</row>
    <row r="660" spans="1:110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</row>
    <row r="661" spans="1:110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</row>
    <row r="662" spans="1:110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</row>
    <row r="663" spans="1:110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</row>
    <row r="664" spans="1:110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</row>
    <row r="665" spans="1:110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</row>
    <row r="666" spans="1:110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</row>
    <row r="667" spans="1:110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</row>
    <row r="668" spans="1:110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</row>
    <row r="669" spans="1:110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</row>
    <row r="670" spans="1:110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</row>
    <row r="671" spans="1:110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</row>
    <row r="672" spans="1:110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</row>
    <row r="673" spans="1:110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</row>
    <row r="674" spans="1:110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</row>
    <row r="675" spans="1:110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</row>
    <row r="676" spans="1:110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</row>
    <row r="677" spans="1:110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</row>
    <row r="678" spans="1:110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</row>
    <row r="679" spans="1:110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</row>
    <row r="680" spans="1:110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</row>
    <row r="681" spans="1:110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</row>
    <row r="682" spans="1:110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</row>
    <row r="683" spans="1:110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</row>
    <row r="684" spans="1:110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</row>
    <row r="685" spans="1:110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</row>
    <row r="686" spans="1:110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</row>
    <row r="687" spans="1:110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</row>
    <row r="688" spans="1:110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</row>
    <row r="689" spans="1:110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</row>
    <row r="690" spans="1:110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</row>
    <row r="691" spans="1:110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</row>
    <row r="692" spans="1:110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</row>
    <row r="693" spans="1:110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</row>
    <row r="694" spans="1:110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</row>
    <row r="695" spans="1:110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</row>
    <row r="696" spans="1:110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</row>
    <row r="697" spans="1:110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</row>
    <row r="698" spans="1:110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</row>
    <row r="699" spans="1:110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</row>
    <row r="700" spans="1:110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</row>
    <row r="701" spans="1:110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</row>
    <row r="702" spans="1:110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</row>
    <row r="703" spans="1:110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</row>
    <row r="704" spans="1:110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</row>
    <row r="705" spans="1:110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</row>
    <row r="706" spans="1:110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</row>
    <row r="707" spans="1:110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</row>
    <row r="708" spans="1:110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</row>
    <row r="709" spans="1:110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</row>
    <row r="710" spans="1:110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</row>
    <row r="711" spans="1:110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</row>
    <row r="712" spans="1:110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</row>
    <row r="713" spans="1:110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</row>
    <row r="714" spans="1:110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</row>
    <row r="715" spans="1:110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</row>
    <row r="716" spans="1:110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</row>
    <row r="717" spans="1:110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</row>
    <row r="718" spans="1:110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</row>
    <row r="719" spans="1:110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</row>
    <row r="720" spans="1:110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</row>
    <row r="721" spans="1:110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</row>
    <row r="722" spans="1:110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</row>
    <row r="723" spans="1:110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</row>
    <row r="724" spans="1:110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</row>
    <row r="725" spans="1:110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</row>
    <row r="726" spans="1:110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</row>
    <row r="727" spans="1:110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</row>
    <row r="728" spans="1:110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</row>
    <row r="729" spans="1:110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</row>
    <row r="730" spans="1:110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</row>
    <row r="731" spans="1:110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</row>
    <row r="732" spans="1:110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</row>
    <row r="733" spans="1:110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</row>
    <row r="734" spans="1:110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</row>
    <row r="735" spans="1:110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</row>
    <row r="736" spans="1:110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</row>
    <row r="737" spans="1:110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</row>
    <row r="738" spans="1:110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</row>
    <row r="739" spans="1:110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</row>
    <row r="740" spans="1:110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</row>
    <row r="741" spans="1:110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</row>
    <row r="742" spans="1:110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</row>
    <row r="743" spans="1:110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</row>
    <row r="744" spans="1:110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</row>
    <row r="745" spans="1:110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</row>
    <row r="746" spans="1:110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</row>
    <row r="747" spans="1:110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</row>
    <row r="748" spans="1:110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</row>
    <row r="749" spans="1:110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</row>
    <row r="750" spans="1:110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</row>
    <row r="751" spans="1:110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</row>
    <row r="752" spans="1:110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</row>
    <row r="753" spans="1:110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</row>
    <row r="754" spans="1:110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</row>
    <row r="755" spans="1:110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</row>
    <row r="756" spans="1:110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</row>
    <row r="757" spans="1:110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</row>
    <row r="758" spans="1:110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</row>
    <row r="759" spans="1:110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</row>
    <row r="760" spans="1:110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</row>
    <row r="761" spans="1:110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</row>
    <row r="762" spans="1:110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</row>
    <row r="763" spans="1:110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</row>
    <row r="764" spans="1:110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</row>
    <row r="765" spans="1:110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</row>
    <row r="766" spans="1:110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</row>
    <row r="767" spans="1:110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</row>
    <row r="768" spans="1:110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</row>
    <row r="769" spans="1:110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</row>
    <row r="770" spans="1:110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</row>
    <row r="771" spans="1:110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</row>
    <row r="772" spans="1:110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</row>
    <row r="773" spans="1:110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</row>
    <row r="774" spans="1:110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</row>
    <row r="775" spans="1:110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</row>
    <row r="776" spans="1:110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</row>
    <row r="777" spans="1:110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</row>
    <row r="778" spans="1:110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</row>
    <row r="779" spans="1:110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</row>
    <row r="780" spans="1:110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</row>
    <row r="781" spans="1:110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</row>
    <row r="782" spans="1:110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</row>
    <row r="783" spans="1:110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</row>
    <row r="784" spans="1:110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</row>
    <row r="785" spans="1:110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</row>
    <row r="786" spans="1:110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</row>
    <row r="787" spans="1:110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</row>
    <row r="788" spans="1:110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</row>
    <row r="789" spans="1:110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</row>
    <row r="790" spans="1:110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</row>
    <row r="791" spans="1:110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</row>
    <row r="792" spans="1:110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</row>
    <row r="793" spans="1:110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</row>
    <row r="794" spans="1:110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</row>
    <row r="795" spans="1:110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</row>
    <row r="796" spans="1:110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</row>
    <row r="797" spans="1:110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</row>
    <row r="798" spans="1:110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</row>
    <row r="799" spans="1:110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</row>
    <row r="800" spans="1:110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</row>
    <row r="801" spans="1:110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</row>
    <row r="802" spans="1:110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</row>
    <row r="803" spans="1:110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</row>
    <row r="804" spans="1:110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</row>
    <row r="805" spans="1:110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</row>
    <row r="806" spans="1:110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</row>
    <row r="807" spans="1:110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</row>
    <row r="808" spans="1:110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</row>
    <row r="809" spans="1:110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</row>
    <row r="810" spans="1:110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</row>
    <row r="811" spans="1:110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</row>
    <row r="812" spans="1:110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</row>
    <row r="813" spans="1:110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</row>
    <row r="814" spans="1:110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</row>
    <row r="815" spans="1:110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</row>
    <row r="816" spans="1:110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</row>
    <row r="817" spans="1:110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</row>
    <row r="818" spans="1:110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</row>
    <row r="819" spans="1:110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</row>
    <row r="820" spans="1:110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</row>
    <row r="821" spans="1:110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</row>
    <row r="822" spans="1:110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</row>
    <row r="823" spans="1:110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</row>
    <row r="824" spans="1:110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</row>
    <row r="825" spans="1:110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</row>
    <row r="826" spans="1:110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</row>
    <row r="827" spans="1:110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</row>
    <row r="828" spans="1:110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</row>
    <row r="829" spans="1:110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</row>
    <row r="830" spans="1:110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</row>
    <row r="831" spans="1:110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</row>
    <row r="832" spans="1:110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</row>
    <row r="833" spans="1:110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</row>
    <row r="834" spans="1:110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</row>
    <row r="835" spans="1:110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</row>
    <row r="836" spans="1:110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</row>
    <row r="837" spans="1:110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</row>
    <row r="838" spans="1:110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</row>
    <row r="839" spans="1:110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</row>
    <row r="840" spans="1:110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</row>
    <row r="841" spans="1:110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</row>
    <row r="842" spans="1:110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</row>
    <row r="843" spans="1:110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</row>
    <row r="844" spans="1:110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</row>
    <row r="845" spans="1:110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</row>
    <row r="846" spans="1:110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</row>
    <row r="847" spans="1:110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</row>
    <row r="848" spans="1:110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</row>
    <row r="849" spans="1:110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</row>
    <row r="850" spans="1:110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</row>
    <row r="851" spans="1:110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</row>
    <row r="852" spans="1:110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</row>
    <row r="853" spans="1:110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</row>
    <row r="854" spans="1:110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</row>
    <row r="855" spans="1:110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</row>
    <row r="856" spans="1:110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</row>
    <row r="857" spans="1:110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</row>
    <row r="858" spans="1:110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</row>
    <row r="859" spans="1:110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</row>
    <row r="860" spans="1:110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</row>
    <row r="861" spans="1:110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</row>
    <row r="862" spans="1:110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</row>
    <row r="863" spans="1:110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</row>
    <row r="864" spans="1:110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</row>
    <row r="865" spans="1:110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</row>
    <row r="866" spans="1:110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</row>
    <row r="867" spans="1:110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</row>
    <row r="868" spans="1:110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</row>
    <row r="869" spans="1:110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</row>
    <row r="870" spans="1:110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</row>
    <row r="871" spans="1:110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</row>
    <row r="872" spans="1:110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</row>
    <row r="873" spans="1:110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</row>
    <row r="874" spans="1:110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</row>
    <row r="875" spans="1:110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</row>
    <row r="876" spans="1:110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</row>
    <row r="877" spans="1:110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</row>
    <row r="878" spans="1:110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</row>
    <row r="879" spans="1:110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</row>
    <row r="880" spans="1:110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</row>
    <row r="881" spans="1:110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</row>
    <row r="882" spans="1:110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</row>
    <row r="883" spans="1:110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</row>
    <row r="884" spans="1:110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</row>
    <row r="885" spans="1:110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</row>
    <row r="886" spans="1:110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</row>
    <row r="887" spans="1:110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</row>
    <row r="888" spans="1:110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</row>
    <row r="889" spans="1:110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</row>
    <row r="890" spans="1:110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</row>
    <row r="891" spans="1:110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</row>
    <row r="892" spans="1:110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</row>
    <row r="893" spans="1:110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</row>
    <row r="894" spans="1:110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</row>
    <row r="895" spans="1:110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</row>
    <row r="896" spans="1:110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</row>
    <row r="897" spans="1:110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</row>
    <row r="898" spans="1:110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</row>
    <row r="899" spans="1:110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</row>
    <row r="900" spans="1:110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</row>
    <row r="901" spans="1:110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</row>
    <row r="902" spans="1:110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</row>
    <row r="903" spans="1:110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</row>
    <row r="904" spans="1:110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</row>
    <row r="905" spans="1:110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</row>
    <row r="906" spans="1:110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</row>
    <row r="907" spans="1:110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</row>
    <row r="908" spans="1:110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</row>
    <row r="909" spans="1:110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</row>
    <row r="910" spans="1:110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</row>
    <row r="911" spans="1:110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</row>
    <row r="912" spans="1:110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</row>
    <row r="913" spans="1:110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</row>
    <row r="914" spans="1:110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</row>
    <row r="915" spans="1:110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</row>
    <row r="916" spans="1:110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</row>
    <row r="917" spans="1:110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</row>
    <row r="918" spans="1:110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</row>
    <row r="919" spans="1:110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</row>
    <row r="920" spans="1:110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</row>
    <row r="921" spans="1:110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</row>
    <row r="922" spans="1:110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</row>
    <row r="923" spans="1:110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</row>
    <row r="924" spans="1:110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</row>
    <row r="925" spans="1:110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</row>
    <row r="926" spans="1:110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</row>
    <row r="927" spans="1:110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</row>
    <row r="928" spans="1:110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</row>
    <row r="929" spans="1:110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</row>
    <row r="930" spans="1:110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</row>
    <row r="931" spans="1:110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</row>
    <row r="932" spans="1:110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</row>
    <row r="933" spans="1:110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</row>
    <row r="934" spans="1:110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</row>
    <row r="935" spans="1:110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</row>
    <row r="936" spans="1:110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</row>
    <row r="937" spans="1:110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</row>
    <row r="938" spans="1:110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</row>
    <row r="939" spans="1:110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</row>
    <row r="940" spans="1:110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</row>
    <row r="941" spans="1:110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</row>
    <row r="942" spans="1:110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</row>
    <row r="943" spans="1:110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</row>
    <row r="944" spans="1:110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</row>
    <row r="945" spans="1:110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</row>
    <row r="946" spans="1:110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</row>
    <row r="947" spans="1:110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</row>
    <row r="948" spans="1:110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</row>
    <row r="949" spans="1:110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</row>
    <row r="950" spans="1:110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</row>
    <row r="951" spans="1:110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</row>
    <row r="952" spans="1:110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</row>
    <row r="953" spans="1:110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</row>
    <row r="954" spans="1:110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</row>
    <row r="955" spans="1:110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</row>
    <row r="956" spans="1:110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</row>
    <row r="957" spans="1:110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</row>
    <row r="958" spans="1:110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</row>
    <row r="959" spans="1:110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</row>
    <row r="960" spans="1:110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</row>
    <row r="961" spans="1:110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</row>
    <row r="962" spans="1:110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</row>
    <row r="963" spans="1:110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</row>
    <row r="964" spans="1:110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</row>
    <row r="965" spans="1:110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</row>
    <row r="966" spans="1:110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</row>
    <row r="967" spans="1:110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</row>
    <row r="968" spans="1:110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</row>
    <row r="969" spans="1:110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</row>
    <row r="970" spans="1:110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</row>
    <row r="971" spans="1:110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</row>
    <row r="972" spans="1:110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</row>
    <row r="973" spans="1:110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</row>
    <row r="974" spans="1:110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</row>
    <row r="975" spans="1:110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</row>
    <row r="976" spans="1:110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</row>
    <row r="977" spans="1:110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</row>
    <row r="978" spans="1:110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</row>
    <row r="979" spans="1:110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</row>
    <row r="980" spans="1:110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</row>
    <row r="981" spans="1:110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</row>
    <row r="982" spans="1:110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</row>
    <row r="983" spans="1:110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</row>
    <row r="984" spans="1:110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</row>
    <row r="985" spans="1:110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</row>
    <row r="986" spans="1:110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</row>
    <row r="987" spans="1:110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</row>
    <row r="988" spans="1:110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</row>
    <row r="989" spans="1:110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</row>
    <row r="990" spans="1:110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</row>
    <row r="991" spans="1:110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</row>
    <row r="992" spans="1:110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</row>
    <row r="993" spans="1:110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</row>
    <row r="994" spans="1:110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</row>
    <row r="995" spans="1:110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</row>
    <row r="996" spans="1:110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</row>
    <row r="997" spans="1:110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</row>
    <row r="998" spans="1:110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</row>
    <row r="999" spans="1:110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</row>
    <row r="1000" spans="1:110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</row>
    <row r="1001" spans="1:110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</row>
    <row r="1002" spans="1:110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</row>
    <row r="1003" spans="1:110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</row>
    <row r="1004" spans="1:110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</row>
    <row r="1005" spans="1:110" x14ac:dyDescent="0.4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</row>
    <row r="1006" spans="1:110" x14ac:dyDescent="0.4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</row>
    <row r="1007" spans="1:110" x14ac:dyDescent="0.4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</row>
    <row r="1008" spans="1:110" x14ac:dyDescent="0.4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</row>
    <row r="1009" spans="1:110" x14ac:dyDescent="0.4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</row>
    <row r="1010" spans="1:110" x14ac:dyDescent="0.4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</row>
    <row r="1011" spans="1:110" x14ac:dyDescent="0.4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</row>
    <row r="1012" spans="1:110" x14ac:dyDescent="0.4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</row>
    <row r="1013" spans="1:110" x14ac:dyDescent="0.4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</row>
    <row r="1014" spans="1:110" x14ac:dyDescent="0.4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</row>
    <row r="1015" spans="1:110" x14ac:dyDescent="0.4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</row>
    <row r="1016" spans="1:110" x14ac:dyDescent="0.4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</row>
    <row r="1017" spans="1:110" x14ac:dyDescent="0.4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</row>
    <row r="1018" spans="1:110" x14ac:dyDescent="0.4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</row>
    <row r="1019" spans="1:110" x14ac:dyDescent="0.4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</row>
    <row r="1020" spans="1:110" x14ac:dyDescent="0.4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</row>
    <row r="1021" spans="1:110" x14ac:dyDescent="0.4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</row>
    <row r="1022" spans="1:110" x14ac:dyDescent="0.4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</row>
    <row r="1023" spans="1:110" x14ac:dyDescent="0.4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</row>
    <row r="1024" spans="1:110" x14ac:dyDescent="0.4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</row>
    <row r="1025" spans="1:110" x14ac:dyDescent="0.4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</row>
    <row r="1026" spans="1:110" x14ac:dyDescent="0.4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</row>
    <row r="1027" spans="1:110" x14ac:dyDescent="0.4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</row>
    <row r="1028" spans="1:110" x14ac:dyDescent="0.4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</row>
    <row r="1029" spans="1:110" x14ac:dyDescent="0.4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</row>
    <row r="1030" spans="1:110" x14ac:dyDescent="0.4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</row>
    <row r="1031" spans="1:110" x14ac:dyDescent="0.4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</row>
    <row r="1032" spans="1:110" x14ac:dyDescent="0.4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</row>
    <row r="1033" spans="1:110" x14ac:dyDescent="0.4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</row>
    <row r="1034" spans="1:110" x14ac:dyDescent="0.4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</row>
    <row r="1035" spans="1:110" x14ac:dyDescent="0.4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</row>
    <row r="1036" spans="1:110" x14ac:dyDescent="0.4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</row>
    <row r="1037" spans="1:110" x14ac:dyDescent="0.4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</row>
    <row r="1038" spans="1:110" x14ac:dyDescent="0.4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</row>
    <row r="1039" spans="1:110" x14ac:dyDescent="0.4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</row>
    <row r="1040" spans="1:110" x14ac:dyDescent="0.4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</row>
    <row r="1041" spans="1:110" x14ac:dyDescent="0.4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</row>
    <row r="1042" spans="1:110" x14ac:dyDescent="0.4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</row>
    <row r="1043" spans="1:110" x14ac:dyDescent="0.4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</row>
    <row r="1044" spans="1:110" x14ac:dyDescent="0.4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</row>
    <row r="1045" spans="1:110" x14ac:dyDescent="0.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</row>
    <row r="1046" spans="1:110" x14ac:dyDescent="0.4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</row>
    <row r="1047" spans="1:110" x14ac:dyDescent="0.4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</row>
    <row r="1048" spans="1:110" x14ac:dyDescent="0.4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</row>
    <row r="1049" spans="1:110" x14ac:dyDescent="0.4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</row>
    <row r="1050" spans="1:110" x14ac:dyDescent="0.4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</row>
    <row r="1051" spans="1:110" x14ac:dyDescent="0.4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</row>
    <row r="1052" spans="1:110" x14ac:dyDescent="0.4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</row>
    <row r="1053" spans="1:110" x14ac:dyDescent="0.4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</row>
    <row r="1054" spans="1:110" x14ac:dyDescent="0.4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</row>
    <row r="1055" spans="1:110" x14ac:dyDescent="0.4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</row>
    <row r="1056" spans="1:110" x14ac:dyDescent="0.4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</row>
    <row r="1057" spans="1:110" x14ac:dyDescent="0.4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</row>
    <row r="1058" spans="1:110" x14ac:dyDescent="0.4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</row>
    <row r="1059" spans="1:110" x14ac:dyDescent="0.4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</row>
    <row r="1060" spans="1:110" x14ac:dyDescent="0.4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</row>
    <row r="1061" spans="1:110" x14ac:dyDescent="0.4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</row>
    <row r="1062" spans="1:110" x14ac:dyDescent="0.4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</row>
    <row r="1063" spans="1:110" x14ac:dyDescent="0.4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</row>
    <row r="1064" spans="1:110" x14ac:dyDescent="0.4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</row>
    <row r="1065" spans="1:110" x14ac:dyDescent="0.4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</row>
    <row r="1066" spans="1:110" x14ac:dyDescent="0.4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</row>
    <row r="1067" spans="1:110" x14ac:dyDescent="0.4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</row>
    <row r="1068" spans="1:110" x14ac:dyDescent="0.4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</row>
    <row r="1069" spans="1:110" x14ac:dyDescent="0.4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</row>
    <row r="1070" spans="1:110" x14ac:dyDescent="0.4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</row>
    <row r="1071" spans="1:110" x14ac:dyDescent="0.4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</row>
    <row r="1072" spans="1:110" x14ac:dyDescent="0.4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</row>
    <row r="1073" spans="1:110" x14ac:dyDescent="0.4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</row>
    <row r="1074" spans="1:110" x14ac:dyDescent="0.4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</row>
    <row r="1075" spans="1:110" x14ac:dyDescent="0.4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</row>
    <row r="1076" spans="1:110" x14ac:dyDescent="0.4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</row>
    <row r="1077" spans="1:110" x14ac:dyDescent="0.4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</row>
    <row r="1078" spans="1:110" x14ac:dyDescent="0.4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</row>
    <row r="1079" spans="1:110" x14ac:dyDescent="0.4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</row>
    <row r="1080" spans="1:110" x14ac:dyDescent="0.4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</row>
    <row r="1081" spans="1:110" x14ac:dyDescent="0.4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</row>
    <row r="1082" spans="1:110" x14ac:dyDescent="0.4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</row>
    <row r="1083" spans="1:110" x14ac:dyDescent="0.4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</row>
    <row r="1084" spans="1:110" x14ac:dyDescent="0.4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</row>
    <row r="1085" spans="1:110" x14ac:dyDescent="0.4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</row>
    <row r="1086" spans="1:110" x14ac:dyDescent="0.4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</row>
    <row r="1087" spans="1:110" x14ac:dyDescent="0.4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</row>
    <row r="1088" spans="1:110" x14ac:dyDescent="0.4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</row>
    <row r="1089" spans="1:110" x14ac:dyDescent="0.4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</row>
    <row r="1090" spans="1:110" x14ac:dyDescent="0.4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</row>
    <row r="1091" spans="1:110" x14ac:dyDescent="0.4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</row>
    <row r="1092" spans="1:110" x14ac:dyDescent="0.4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</row>
    <row r="1093" spans="1:110" x14ac:dyDescent="0.4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</row>
    <row r="1094" spans="1:110" x14ac:dyDescent="0.4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</row>
    <row r="1095" spans="1:110" x14ac:dyDescent="0.4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</row>
    <row r="1096" spans="1:110" x14ac:dyDescent="0.4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</row>
    <row r="1097" spans="1:110" x14ac:dyDescent="0.4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</row>
    <row r="1098" spans="1:110" x14ac:dyDescent="0.4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</row>
    <row r="1099" spans="1:110" x14ac:dyDescent="0.4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</row>
    <row r="1100" spans="1:110" x14ac:dyDescent="0.4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</row>
    <row r="1101" spans="1:110" x14ac:dyDescent="0.4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</row>
    <row r="1102" spans="1:110" x14ac:dyDescent="0.4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</row>
    <row r="1103" spans="1:110" x14ac:dyDescent="0.4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</row>
    <row r="1104" spans="1:110" x14ac:dyDescent="0.4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</row>
    <row r="1105" spans="1:110" x14ac:dyDescent="0.4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</row>
    <row r="1106" spans="1:110" x14ac:dyDescent="0.4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</row>
    <row r="1107" spans="1:110" x14ac:dyDescent="0.4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</row>
    <row r="1108" spans="1:110" x14ac:dyDescent="0.4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</row>
    <row r="1109" spans="1:110" x14ac:dyDescent="0.4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</row>
    <row r="1110" spans="1:110" x14ac:dyDescent="0.4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</row>
    <row r="1111" spans="1:110" x14ac:dyDescent="0.4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</row>
    <row r="1112" spans="1:110" x14ac:dyDescent="0.4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</row>
    <row r="1113" spans="1:110" x14ac:dyDescent="0.4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</row>
    <row r="1114" spans="1:110" x14ac:dyDescent="0.4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</row>
    <row r="1115" spans="1:110" x14ac:dyDescent="0.4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</row>
    <row r="1116" spans="1:110" x14ac:dyDescent="0.4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</row>
    <row r="1117" spans="1:110" x14ac:dyDescent="0.4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</row>
    <row r="1118" spans="1:110" x14ac:dyDescent="0.4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</row>
    <row r="1119" spans="1:110" x14ac:dyDescent="0.4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</row>
    <row r="1120" spans="1:110" x14ac:dyDescent="0.4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</row>
    <row r="1121" spans="1:110" x14ac:dyDescent="0.4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</row>
    <row r="1122" spans="1:110" x14ac:dyDescent="0.4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</row>
    <row r="1123" spans="1:110" x14ac:dyDescent="0.4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</row>
    <row r="1124" spans="1:110" x14ac:dyDescent="0.4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</row>
    <row r="1125" spans="1:110" x14ac:dyDescent="0.4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</row>
    <row r="1126" spans="1:110" x14ac:dyDescent="0.4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</row>
    <row r="1127" spans="1:110" x14ac:dyDescent="0.4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</row>
    <row r="1128" spans="1:110" x14ac:dyDescent="0.4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</row>
    <row r="1129" spans="1:110" x14ac:dyDescent="0.4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</row>
    <row r="1130" spans="1:110" x14ac:dyDescent="0.4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</row>
    <row r="1131" spans="1:110" x14ac:dyDescent="0.4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</row>
    <row r="1132" spans="1:110" x14ac:dyDescent="0.4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</row>
    <row r="1133" spans="1:110" x14ac:dyDescent="0.4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</row>
    <row r="1134" spans="1:110" x14ac:dyDescent="0.4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</row>
    <row r="1135" spans="1:110" x14ac:dyDescent="0.4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</row>
    <row r="1136" spans="1:110" x14ac:dyDescent="0.4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</row>
    <row r="1137" spans="1:110" x14ac:dyDescent="0.4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</row>
    <row r="1138" spans="1:110" x14ac:dyDescent="0.4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</row>
    <row r="1139" spans="1:110" x14ac:dyDescent="0.4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</row>
    <row r="1140" spans="1:110" x14ac:dyDescent="0.4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</row>
    <row r="1141" spans="1:110" x14ac:dyDescent="0.4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</row>
    <row r="1142" spans="1:110" x14ac:dyDescent="0.4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</row>
    <row r="1143" spans="1:110" x14ac:dyDescent="0.4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</row>
    <row r="1144" spans="1:110" x14ac:dyDescent="0.4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</row>
    <row r="1145" spans="1:110" x14ac:dyDescent="0.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</row>
    <row r="1146" spans="1:110" x14ac:dyDescent="0.4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</row>
    <row r="1147" spans="1:110" x14ac:dyDescent="0.4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</row>
    <row r="1148" spans="1:110" x14ac:dyDescent="0.4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</row>
    <row r="1149" spans="1:110" x14ac:dyDescent="0.4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</row>
    <row r="1150" spans="1:110" x14ac:dyDescent="0.4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</row>
    <row r="1151" spans="1:110" x14ac:dyDescent="0.4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</row>
    <row r="1152" spans="1:110" x14ac:dyDescent="0.4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</row>
    <row r="1153" spans="1:110" x14ac:dyDescent="0.4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</row>
    <row r="1154" spans="1:110" x14ac:dyDescent="0.4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</row>
    <row r="1155" spans="1:110" x14ac:dyDescent="0.4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</row>
    <row r="1156" spans="1:110" x14ac:dyDescent="0.4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</row>
    <row r="1157" spans="1:110" x14ac:dyDescent="0.4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</row>
    <row r="1158" spans="1:110" x14ac:dyDescent="0.4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</row>
    <row r="1159" spans="1:110" x14ac:dyDescent="0.4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</row>
    <row r="1160" spans="1:110" x14ac:dyDescent="0.4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</row>
    <row r="1161" spans="1:110" x14ac:dyDescent="0.4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</row>
    <row r="1162" spans="1:110" x14ac:dyDescent="0.4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</row>
    <row r="1163" spans="1:110" x14ac:dyDescent="0.4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</row>
    <row r="1164" spans="1:110" x14ac:dyDescent="0.4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</row>
    <row r="1165" spans="1:110" x14ac:dyDescent="0.4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</row>
    <row r="1166" spans="1:110" x14ac:dyDescent="0.4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</row>
    <row r="1167" spans="1:110" x14ac:dyDescent="0.4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</row>
    <row r="1168" spans="1:110" x14ac:dyDescent="0.4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</row>
    <row r="1169" spans="1:110" x14ac:dyDescent="0.4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</row>
    <row r="1170" spans="1:110" x14ac:dyDescent="0.4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</row>
    <row r="1171" spans="1:110" x14ac:dyDescent="0.4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</row>
    <row r="1172" spans="1:110" x14ac:dyDescent="0.4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</row>
    <row r="1173" spans="1:110" x14ac:dyDescent="0.4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</row>
    <row r="1174" spans="1:110" x14ac:dyDescent="0.4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</row>
    <row r="1175" spans="1:110" x14ac:dyDescent="0.4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</row>
    <row r="1176" spans="1:110" x14ac:dyDescent="0.4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</row>
    <row r="1177" spans="1:110" x14ac:dyDescent="0.4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</row>
    <row r="1178" spans="1:110" x14ac:dyDescent="0.4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</row>
    <row r="1179" spans="1:110" x14ac:dyDescent="0.4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</row>
    <row r="1180" spans="1:110" x14ac:dyDescent="0.4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</row>
    <row r="1181" spans="1:110" x14ac:dyDescent="0.4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</row>
    <row r="1182" spans="1:110" x14ac:dyDescent="0.4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</row>
    <row r="1183" spans="1:110" x14ac:dyDescent="0.4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</row>
    <row r="1184" spans="1:110" x14ac:dyDescent="0.4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</row>
    <row r="1185" spans="1:110" x14ac:dyDescent="0.4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</row>
    <row r="1186" spans="1:110" x14ac:dyDescent="0.4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</row>
    <row r="1187" spans="1:110" x14ac:dyDescent="0.4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</row>
    <row r="1188" spans="1:110" x14ac:dyDescent="0.4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</row>
    <row r="1189" spans="1:110" x14ac:dyDescent="0.4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</row>
    <row r="1190" spans="1:110" x14ac:dyDescent="0.4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</row>
    <row r="1191" spans="1:110" x14ac:dyDescent="0.4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</row>
    <row r="1192" spans="1:110" x14ac:dyDescent="0.4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</row>
    <row r="1193" spans="1:110" x14ac:dyDescent="0.4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</row>
    <row r="1194" spans="1:110" x14ac:dyDescent="0.4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</row>
    <row r="1195" spans="1:110" x14ac:dyDescent="0.4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</row>
    <row r="1196" spans="1:110" x14ac:dyDescent="0.4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</row>
    <row r="1197" spans="1:110" x14ac:dyDescent="0.4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</row>
    <row r="1198" spans="1:110" x14ac:dyDescent="0.4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</row>
    <row r="1199" spans="1:110" x14ac:dyDescent="0.4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</row>
    <row r="1200" spans="1:110" x14ac:dyDescent="0.4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</row>
    <row r="1201" spans="1:110" x14ac:dyDescent="0.4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</row>
    <row r="1202" spans="1:110" x14ac:dyDescent="0.4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</row>
    <row r="1203" spans="1:110" x14ac:dyDescent="0.4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</row>
    <row r="1204" spans="1:110" x14ac:dyDescent="0.4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</row>
    <row r="1205" spans="1:110" x14ac:dyDescent="0.4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</row>
    <row r="1206" spans="1:110" x14ac:dyDescent="0.4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</row>
    <row r="1207" spans="1:110" x14ac:dyDescent="0.4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</row>
    <row r="1208" spans="1:110" x14ac:dyDescent="0.4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</row>
    <row r="1209" spans="1:110" x14ac:dyDescent="0.4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</row>
    <row r="1210" spans="1:110" x14ac:dyDescent="0.4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</row>
    <row r="1211" spans="1:110" x14ac:dyDescent="0.4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</row>
    <row r="1212" spans="1:110" x14ac:dyDescent="0.4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</row>
    <row r="1213" spans="1:110" x14ac:dyDescent="0.4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</row>
    <row r="1214" spans="1:110" x14ac:dyDescent="0.4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</row>
    <row r="1215" spans="1:110" x14ac:dyDescent="0.4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</row>
    <row r="1216" spans="1:110" x14ac:dyDescent="0.4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</row>
    <row r="1217" spans="1:110" x14ac:dyDescent="0.4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</row>
    <row r="1218" spans="1:110" x14ac:dyDescent="0.4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</row>
    <row r="1219" spans="1:110" x14ac:dyDescent="0.4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</row>
    <row r="1220" spans="1:110" x14ac:dyDescent="0.4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</row>
    <row r="1221" spans="1:110" x14ac:dyDescent="0.4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</row>
    <row r="1222" spans="1:110" x14ac:dyDescent="0.4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</row>
    <row r="1223" spans="1:110" x14ac:dyDescent="0.4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</row>
    <row r="1224" spans="1:110" x14ac:dyDescent="0.4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</row>
    <row r="1225" spans="1:110" x14ac:dyDescent="0.4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</row>
    <row r="1226" spans="1:110" x14ac:dyDescent="0.4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</row>
    <row r="1227" spans="1:110" x14ac:dyDescent="0.4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</row>
    <row r="1228" spans="1:110" x14ac:dyDescent="0.4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</row>
    <row r="1229" spans="1:110" x14ac:dyDescent="0.4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</row>
    <row r="1230" spans="1:110" x14ac:dyDescent="0.4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</row>
    <row r="1231" spans="1:110" x14ac:dyDescent="0.4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</row>
    <row r="1232" spans="1:110" x14ac:dyDescent="0.4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</row>
    <row r="1233" spans="1:110" x14ac:dyDescent="0.4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</row>
    <row r="1234" spans="1:110" x14ac:dyDescent="0.4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</row>
    <row r="1235" spans="1:110" x14ac:dyDescent="0.4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</row>
    <row r="1236" spans="1:110" x14ac:dyDescent="0.4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</row>
    <row r="1237" spans="1:110" x14ac:dyDescent="0.4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</row>
    <row r="1238" spans="1:110" x14ac:dyDescent="0.4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</row>
    <row r="1239" spans="1:110" x14ac:dyDescent="0.4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</row>
    <row r="1240" spans="1:110" x14ac:dyDescent="0.4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</row>
    <row r="1241" spans="1:110" x14ac:dyDescent="0.4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</row>
    <row r="1242" spans="1:110" x14ac:dyDescent="0.4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</row>
    <row r="1243" spans="1:110" x14ac:dyDescent="0.4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</row>
    <row r="1244" spans="1:110" x14ac:dyDescent="0.4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</row>
    <row r="1245" spans="1:110" x14ac:dyDescent="0.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</row>
    <row r="1246" spans="1:110" x14ac:dyDescent="0.4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</row>
    <row r="1247" spans="1:110" x14ac:dyDescent="0.4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</row>
    <row r="1248" spans="1:110" x14ac:dyDescent="0.4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</row>
    <row r="1249" spans="1:110" x14ac:dyDescent="0.4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</row>
    <row r="1250" spans="1:110" x14ac:dyDescent="0.4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</row>
    <row r="1251" spans="1:110" x14ac:dyDescent="0.4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</row>
    <row r="1252" spans="1:110" x14ac:dyDescent="0.4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</row>
    <row r="1253" spans="1:110" x14ac:dyDescent="0.4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</row>
    <row r="1254" spans="1:110" x14ac:dyDescent="0.4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</row>
    <row r="1255" spans="1:110" x14ac:dyDescent="0.4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</row>
    <row r="1256" spans="1:110" x14ac:dyDescent="0.4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</row>
    <row r="1257" spans="1:110" x14ac:dyDescent="0.4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</row>
    <row r="1258" spans="1:110" x14ac:dyDescent="0.4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</row>
    <row r="1259" spans="1:110" x14ac:dyDescent="0.4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</row>
    <row r="1260" spans="1:110" x14ac:dyDescent="0.4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</row>
    <row r="1261" spans="1:110" x14ac:dyDescent="0.4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</row>
    <row r="1262" spans="1:110" x14ac:dyDescent="0.4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</row>
    <row r="1263" spans="1:110" x14ac:dyDescent="0.4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</row>
    <row r="1264" spans="1:110" x14ac:dyDescent="0.4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</row>
    <row r="1265" spans="1:110" x14ac:dyDescent="0.4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</row>
    <row r="1266" spans="1:110" x14ac:dyDescent="0.4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</row>
    <row r="1267" spans="1:110" x14ac:dyDescent="0.4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</row>
    <row r="1268" spans="1:110" x14ac:dyDescent="0.4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</row>
    <row r="1269" spans="1:110" x14ac:dyDescent="0.4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</row>
    <row r="1270" spans="1:110" x14ac:dyDescent="0.4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</row>
    <row r="1271" spans="1:110" x14ac:dyDescent="0.4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</row>
    <row r="1272" spans="1:110" x14ac:dyDescent="0.4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</row>
    <row r="1273" spans="1:110" x14ac:dyDescent="0.4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</row>
    <row r="1274" spans="1:110" x14ac:dyDescent="0.4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</row>
    <row r="1275" spans="1:110" x14ac:dyDescent="0.4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</row>
    <row r="1276" spans="1:110" x14ac:dyDescent="0.4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</row>
    <row r="1277" spans="1:110" x14ac:dyDescent="0.4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</row>
    <row r="1278" spans="1:110" x14ac:dyDescent="0.4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</row>
    <row r="1279" spans="1:110" x14ac:dyDescent="0.4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</row>
    <row r="1280" spans="1:110" x14ac:dyDescent="0.4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</row>
    <row r="1281" spans="1:110" x14ac:dyDescent="0.4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</row>
    <row r="1282" spans="1:110" x14ac:dyDescent="0.4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</row>
    <row r="1283" spans="1:110" x14ac:dyDescent="0.4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</row>
    <row r="1284" spans="1:110" x14ac:dyDescent="0.4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</row>
    <row r="1285" spans="1:110" x14ac:dyDescent="0.4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</row>
    <row r="1286" spans="1:110" x14ac:dyDescent="0.4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</row>
    <row r="1287" spans="1:110" x14ac:dyDescent="0.4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</row>
    <row r="1288" spans="1:110" x14ac:dyDescent="0.4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</row>
    <row r="1289" spans="1:110" x14ac:dyDescent="0.4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</row>
    <row r="1290" spans="1:110" x14ac:dyDescent="0.4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</row>
    <row r="1291" spans="1:110" x14ac:dyDescent="0.4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</row>
    <row r="1292" spans="1:110" x14ac:dyDescent="0.4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</row>
    <row r="1293" spans="1:110" x14ac:dyDescent="0.4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</row>
    <row r="1294" spans="1:110" x14ac:dyDescent="0.4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</row>
    <row r="1295" spans="1:110" x14ac:dyDescent="0.4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</row>
    <row r="1296" spans="1:110" x14ac:dyDescent="0.4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</row>
    <row r="1297" spans="1:110" x14ac:dyDescent="0.4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</row>
    <row r="1298" spans="1:110" x14ac:dyDescent="0.4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</row>
    <row r="1299" spans="1:110" x14ac:dyDescent="0.4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</row>
    <row r="1300" spans="1:110" x14ac:dyDescent="0.4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</row>
    <row r="1301" spans="1:110" x14ac:dyDescent="0.4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</row>
    <row r="1302" spans="1:110" x14ac:dyDescent="0.4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</row>
    <row r="1303" spans="1:110" x14ac:dyDescent="0.4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</row>
    <row r="1304" spans="1:110" x14ac:dyDescent="0.4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</row>
    <row r="1305" spans="1:110" x14ac:dyDescent="0.4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</row>
    <row r="1306" spans="1:110" x14ac:dyDescent="0.4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</row>
    <row r="1307" spans="1:110" x14ac:dyDescent="0.4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</row>
    <row r="1308" spans="1:110" x14ac:dyDescent="0.4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</row>
    <row r="1309" spans="1:110" x14ac:dyDescent="0.4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</row>
    <row r="1310" spans="1:110" x14ac:dyDescent="0.4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</row>
    <row r="1311" spans="1:110" x14ac:dyDescent="0.4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</row>
    <row r="1312" spans="1:110" x14ac:dyDescent="0.4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</row>
    <row r="1313" spans="1:110" x14ac:dyDescent="0.4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</row>
    <row r="1314" spans="1:110" x14ac:dyDescent="0.4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</row>
    <row r="1315" spans="1:110" x14ac:dyDescent="0.4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</row>
    <row r="1316" spans="1:110" x14ac:dyDescent="0.4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</row>
    <row r="1317" spans="1:110" x14ac:dyDescent="0.4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</row>
    <row r="1318" spans="1:110" x14ac:dyDescent="0.4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</row>
    <row r="1319" spans="1:110" x14ac:dyDescent="0.4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</row>
    <row r="1320" spans="1:110" x14ac:dyDescent="0.4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</row>
    <row r="1321" spans="1:110" x14ac:dyDescent="0.4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</row>
    <row r="1322" spans="1:110" x14ac:dyDescent="0.4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</row>
    <row r="1323" spans="1:110" x14ac:dyDescent="0.4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</row>
    <row r="1324" spans="1:110" x14ac:dyDescent="0.4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</row>
    <row r="1325" spans="1:110" x14ac:dyDescent="0.4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</row>
    <row r="1326" spans="1:110" x14ac:dyDescent="0.4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</row>
    <row r="1327" spans="1:110" x14ac:dyDescent="0.4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</row>
    <row r="1328" spans="1:110" x14ac:dyDescent="0.4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</row>
    <row r="1329" spans="1:110" x14ac:dyDescent="0.4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</row>
    <row r="1330" spans="1:110" x14ac:dyDescent="0.4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</row>
    <row r="1331" spans="1:110" x14ac:dyDescent="0.4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</row>
    <row r="1332" spans="1:110" x14ac:dyDescent="0.4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</row>
    <row r="1333" spans="1:110" x14ac:dyDescent="0.4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</row>
    <row r="1334" spans="1:110" x14ac:dyDescent="0.4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</row>
    <row r="1335" spans="1:110" x14ac:dyDescent="0.4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</row>
    <row r="1336" spans="1:110" x14ac:dyDescent="0.4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</row>
    <row r="1337" spans="1:110" x14ac:dyDescent="0.4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</row>
    <row r="1338" spans="1:110" x14ac:dyDescent="0.4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</row>
    <row r="1339" spans="1:110" x14ac:dyDescent="0.4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</row>
    <row r="1340" spans="1:110" x14ac:dyDescent="0.4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</row>
    <row r="1341" spans="1:110" x14ac:dyDescent="0.4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</row>
    <row r="1342" spans="1:110" x14ac:dyDescent="0.4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</row>
    <row r="1343" spans="1:110" x14ac:dyDescent="0.4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</row>
    <row r="1344" spans="1:110" x14ac:dyDescent="0.4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</row>
    <row r="1345" spans="1:110" x14ac:dyDescent="0.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</row>
    <row r="1346" spans="1:110" x14ac:dyDescent="0.4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</row>
    <row r="1347" spans="1:110" x14ac:dyDescent="0.4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</row>
    <row r="1348" spans="1:110" x14ac:dyDescent="0.4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</row>
    <row r="1349" spans="1:110" x14ac:dyDescent="0.4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</row>
    <row r="1350" spans="1:110" x14ac:dyDescent="0.4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</row>
    <row r="1351" spans="1:110" x14ac:dyDescent="0.4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</row>
    <row r="1352" spans="1:110" x14ac:dyDescent="0.4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</row>
    <row r="1353" spans="1:110" x14ac:dyDescent="0.4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</row>
    <row r="1354" spans="1:110" x14ac:dyDescent="0.4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</row>
    <row r="1355" spans="1:110" x14ac:dyDescent="0.4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</row>
    <row r="1356" spans="1:110" x14ac:dyDescent="0.4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</row>
    <row r="1357" spans="1:110" x14ac:dyDescent="0.4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</row>
    <row r="1358" spans="1:110" x14ac:dyDescent="0.4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</row>
    <row r="1359" spans="1:110" x14ac:dyDescent="0.4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</row>
    <row r="1360" spans="1:110" x14ac:dyDescent="0.4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</row>
    <row r="1361" spans="1:110" x14ac:dyDescent="0.4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</row>
    <row r="1362" spans="1:110" x14ac:dyDescent="0.4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</row>
    <row r="1363" spans="1:110" x14ac:dyDescent="0.4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</row>
    <row r="1364" spans="1:110" x14ac:dyDescent="0.4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</row>
    <row r="1365" spans="1:110" x14ac:dyDescent="0.4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</row>
    <row r="1366" spans="1:110" x14ac:dyDescent="0.4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</row>
    <row r="1367" spans="1:110" x14ac:dyDescent="0.4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</row>
    <row r="1368" spans="1:110" x14ac:dyDescent="0.4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</row>
    <row r="1369" spans="1:110" x14ac:dyDescent="0.4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</row>
    <row r="1370" spans="1:110" x14ac:dyDescent="0.4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</row>
    <row r="1371" spans="1:110" x14ac:dyDescent="0.4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</row>
    <row r="1372" spans="1:110" x14ac:dyDescent="0.4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</row>
    <row r="1373" spans="1:110" x14ac:dyDescent="0.4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</row>
    <row r="1374" spans="1:110" x14ac:dyDescent="0.4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</row>
    <row r="1375" spans="1:110" x14ac:dyDescent="0.4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</row>
    <row r="1376" spans="1:110" x14ac:dyDescent="0.4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</row>
    <row r="1377" spans="1:110" x14ac:dyDescent="0.4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</row>
    <row r="1378" spans="1:110" x14ac:dyDescent="0.4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</row>
    <row r="1379" spans="1:110" x14ac:dyDescent="0.4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</row>
    <row r="1380" spans="1:110" x14ac:dyDescent="0.4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</row>
    <row r="1381" spans="1:110" x14ac:dyDescent="0.4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</row>
    <row r="1382" spans="1:110" x14ac:dyDescent="0.4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</row>
    <row r="1383" spans="1:110" x14ac:dyDescent="0.4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</row>
    <row r="1384" spans="1:110" x14ac:dyDescent="0.4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</row>
    <row r="1385" spans="1:110" x14ac:dyDescent="0.4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</row>
    <row r="1386" spans="1:110" x14ac:dyDescent="0.4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</row>
    <row r="1387" spans="1:110" x14ac:dyDescent="0.4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</row>
    <row r="1388" spans="1:110" x14ac:dyDescent="0.4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</row>
    <row r="1389" spans="1:110" x14ac:dyDescent="0.4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</row>
    <row r="1390" spans="1:110" x14ac:dyDescent="0.4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</row>
    <row r="1391" spans="1:110" x14ac:dyDescent="0.4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</row>
    <row r="1392" spans="1:110" x14ac:dyDescent="0.4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</row>
    <row r="1393" spans="1:110" x14ac:dyDescent="0.4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</row>
    <row r="1394" spans="1:110" x14ac:dyDescent="0.4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</row>
    <row r="1395" spans="1:110" x14ac:dyDescent="0.4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</row>
    <row r="1396" spans="1:110" x14ac:dyDescent="0.4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</row>
    <row r="1397" spans="1:110" x14ac:dyDescent="0.4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</row>
    <row r="1398" spans="1:110" x14ac:dyDescent="0.4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</row>
    <row r="1399" spans="1:110" x14ac:dyDescent="0.4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</row>
    <row r="1400" spans="1:110" x14ac:dyDescent="0.4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</row>
    <row r="1401" spans="1:110" x14ac:dyDescent="0.4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</row>
    <row r="1402" spans="1:110" x14ac:dyDescent="0.4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</row>
    <row r="1403" spans="1:110" x14ac:dyDescent="0.4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</row>
    <row r="1404" spans="1:110" x14ac:dyDescent="0.4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</row>
    <row r="1405" spans="1:110" x14ac:dyDescent="0.4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</row>
    <row r="1406" spans="1:110" x14ac:dyDescent="0.4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</row>
    <row r="1407" spans="1:110" x14ac:dyDescent="0.4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</row>
    <row r="1408" spans="1:110" x14ac:dyDescent="0.4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</row>
    <row r="1409" spans="1:110" x14ac:dyDescent="0.4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</row>
    <row r="1410" spans="1:110" x14ac:dyDescent="0.4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</row>
    <row r="1411" spans="1:110" x14ac:dyDescent="0.4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</row>
    <row r="1412" spans="1:110" x14ac:dyDescent="0.4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</row>
    <row r="1413" spans="1:110" x14ac:dyDescent="0.4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</row>
    <row r="1414" spans="1:110" x14ac:dyDescent="0.4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</row>
    <row r="1415" spans="1:110" x14ac:dyDescent="0.4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</row>
    <row r="1416" spans="1:110" x14ac:dyDescent="0.4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</row>
    <row r="1417" spans="1:110" x14ac:dyDescent="0.4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</row>
    <row r="1418" spans="1:110" x14ac:dyDescent="0.4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</row>
    <row r="1419" spans="1:110" x14ac:dyDescent="0.4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</row>
    <row r="1420" spans="1:110" x14ac:dyDescent="0.4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</row>
    <row r="1421" spans="1:110" x14ac:dyDescent="0.4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</row>
    <row r="1422" spans="1:110" x14ac:dyDescent="0.4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</row>
    <row r="1423" spans="1:110" x14ac:dyDescent="0.4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</row>
    <row r="1424" spans="1:110" x14ac:dyDescent="0.4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</row>
    <row r="1425" spans="1:110" x14ac:dyDescent="0.4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</row>
    <row r="1426" spans="1:110" x14ac:dyDescent="0.4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</row>
    <row r="1427" spans="1:110" x14ac:dyDescent="0.4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</row>
    <row r="1428" spans="1:110" x14ac:dyDescent="0.4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</row>
    <row r="1429" spans="1:110" x14ac:dyDescent="0.4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</row>
    <row r="1430" spans="1:110" x14ac:dyDescent="0.4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</row>
    <row r="1431" spans="1:110" x14ac:dyDescent="0.4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</row>
    <row r="1432" spans="1:110" x14ac:dyDescent="0.4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</row>
    <row r="1433" spans="1:110" x14ac:dyDescent="0.4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</row>
    <row r="1434" spans="1:110" x14ac:dyDescent="0.4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</row>
    <row r="1435" spans="1:110" x14ac:dyDescent="0.4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</row>
    <row r="1436" spans="1:110" x14ac:dyDescent="0.4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</row>
    <row r="1437" spans="1:110" x14ac:dyDescent="0.4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</row>
    <row r="1438" spans="1:110" x14ac:dyDescent="0.4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</row>
    <row r="1439" spans="1:110" x14ac:dyDescent="0.4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</row>
    <row r="1440" spans="1:110" x14ac:dyDescent="0.4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</row>
    <row r="1441" spans="1:110" x14ac:dyDescent="0.4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</row>
    <row r="1442" spans="1:110" x14ac:dyDescent="0.4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</row>
    <row r="1443" spans="1:110" x14ac:dyDescent="0.4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</row>
    <row r="1444" spans="1:110" x14ac:dyDescent="0.4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</row>
    <row r="1445" spans="1:110" x14ac:dyDescent="0.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</row>
    <row r="1446" spans="1:110" x14ac:dyDescent="0.4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</row>
    <row r="1447" spans="1:110" x14ac:dyDescent="0.4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</row>
    <row r="1448" spans="1:110" x14ac:dyDescent="0.4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</row>
    <row r="1449" spans="1:110" x14ac:dyDescent="0.4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</row>
    <row r="1450" spans="1:110" x14ac:dyDescent="0.4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</row>
    <row r="1451" spans="1:110" x14ac:dyDescent="0.4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</row>
    <row r="1452" spans="1:110" x14ac:dyDescent="0.4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</row>
    <row r="1453" spans="1:110" x14ac:dyDescent="0.4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</row>
    <row r="1454" spans="1:110" x14ac:dyDescent="0.4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</row>
    <row r="1455" spans="1:110" x14ac:dyDescent="0.4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</row>
    <row r="1456" spans="1:110" x14ac:dyDescent="0.4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</row>
    <row r="1457" spans="1:110" x14ac:dyDescent="0.4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</row>
    <row r="1458" spans="1:110" x14ac:dyDescent="0.4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</row>
    <row r="1459" spans="1:110" x14ac:dyDescent="0.4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</row>
    <row r="1460" spans="1:110" x14ac:dyDescent="0.4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</row>
    <row r="1461" spans="1:110" x14ac:dyDescent="0.4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</row>
    <row r="1462" spans="1:110" x14ac:dyDescent="0.4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</row>
    <row r="1463" spans="1:110" x14ac:dyDescent="0.4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</row>
    <row r="1464" spans="1:110" x14ac:dyDescent="0.4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</row>
    <row r="1465" spans="1:110" x14ac:dyDescent="0.4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</row>
    <row r="1466" spans="1:110" x14ac:dyDescent="0.4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</row>
    <row r="1467" spans="1:110" x14ac:dyDescent="0.4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</row>
    <row r="1468" spans="1:110" x14ac:dyDescent="0.4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</row>
    <row r="1469" spans="1:110" x14ac:dyDescent="0.4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</row>
    <row r="1470" spans="1:110" x14ac:dyDescent="0.4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</row>
    <row r="1471" spans="1:110" x14ac:dyDescent="0.4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</row>
    <row r="1472" spans="1:110" x14ac:dyDescent="0.4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</row>
    <row r="1473" spans="1:110" x14ac:dyDescent="0.4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</row>
    <row r="1474" spans="1:110" x14ac:dyDescent="0.4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</row>
    <row r="1475" spans="1:110" x14ac:dyDescent="0.4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</row>
    <row r="1476" spans="1:110" x14ac:dyDescent="0.4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</row>
    <row r="1477" spans="1:110" x14ac:dyDescent="0.4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</row>
    <row r="1478" spans="1:110" x14ac:dyDescent="0.4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</row>
    <row r="1479" spans="1:110" x14ac:dyDescent="0.4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</row>
    <row r="1480" spans="1:110" x14ac:dyDescent="0.4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</row>
    <row r="1481" spans="1:110" x14ac:dyDescent="0.4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</row>
    <row r="1482" spans="1:110" x14ac:dyDescent="0.4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</row>
    <row r="1483" spans="1:110" x14ac:dyDescent="0.4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</row>
    <row r="1484" spans="1:110" x14ac:dyDescent="0.4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</row>
    <row r="1485" spans="1:110" x14ac:dyDescent="0.4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</row>
    <row r="1486" spans="1:110" x14ac:dyDescent="0.4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</row>
    <row r="1487" spans="1:110" x14ac:dyDescent="0.4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</row>
    <row r="1488" spans="1:110" x14ac:dyDescent="0.4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</row>
    <row r="1489" spans="1:110" x14ac:dyDescent="0.4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</row>
    <row r="1490" spans="1:110" x14ac:dyDescent="0.4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</row>
    <row r="1491" spans="1:110" x14ac:dyDescent="0.4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</row>
    <row r="1492" spans="1:110" x14ac:dyDescent="0.4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</row>
    <row r="1493" spans="1:110" x14ac:dyDescent="0.4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</row>
    <row r="1494" spans="1:110" x14ac:dyDescent="0.4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</row>
    <row r="1495" spans="1:110" x14ac:dyDescent="0.4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</row>
    <row r="1496" spans="1:110" x14ac:dyDescent="0.4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</row>
    <row r="1497" spans="1:110" x14ac:dyDescent="0.4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</row>
    <row r="1498" spans="1:110" x14ac:dyDescent="0.4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</row>
    <row r="1499" spans="1:110" x14ac:dyDescent="0.4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</row>
    <row r="1500" spans="1:110" x14ac:dyDescent="0.4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</row>
    <row r="1501" spans="1:110" x14ac:dyDescent="0.4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</row>
    <row r="1502" spans="1:110" x14ac:dyDescent="0.4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</row>
    <row r="1503" spans="1:110" x14ac:dyDescent="0.4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</row>
    <row r="1504" spans="1:110" x14ac:dyDescent="0.4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</row>
    <row r="1505" spans="1:110" x14ac:dyDescent="0.4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</row>
    <row r="1506" spans="1:110" x14ac:dyDescent="0.4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</row>
    <row r="1507" spans="1:110" x14ac:dyDescent="0.4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</row>
    <row r="1508" spans="1:110" x14ac:dyDescent="0.4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</row>
    <row r="1509" spans="1:110" x14ac:dyDescent="0.4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</row>
    <row r="1510" spans="1:110" x14ac:dyDescent="0.4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</row>
    <row r="1511" spans="1:110" x14ac:dyDescent="0.4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</row>
    <row r="1512" spans="1:110" x14ac:dyDescent="0.4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</row>
    <row r="1513" spans="1:110" x14ac:dyDescent="0.4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</row>
    <row r="1514" spans="1:110" x14ac:dyDescent="0.4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</row>
    <row r="1515" spans="1:110" x14ac:dyDescent="0.4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</row>
    <row r="1516" spans="1:110" x14ac:dyDescent="0.4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</row>
    <row r="1517" spans="1:110" x14ac:dyDescent="0.4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</row>
    <row r="1518" spans="1:110" x14ac:dyDescent="0.4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</row>
    <row r="1519" spans="1:110" x14ac:dyDescent="0.4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</row>
    <row r="1520" spans="1:110" x14ac:dyDescent="0.4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</row>
    <row r="1521" spans="1:110" x14ac:dyDescent="0.4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</row>
    <row r="1522" spans="1:110" x14ac:dyDescent="0.4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</row>
    <row r="1523" spans="1:110" x14ac:dyDescent="0.4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</row>
    <row r="1524" spans="1:110" x14ac:dyDescent="0.4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</row>
    <row r="1525" spans="1:110" x14ac:dyDescent="0.4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</row>
    <row r="1526" spans="1:110" x14ac:dyDescent="0.4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</row>
    <row r="1527" spans="1:110" x14ac:dyDescent="0.4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</row>
    <row r="1528" spans="1:110" x14ac:dyDescent="0.4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</row>
    <row r="1529" spans="1:110" x14ac:dyDescent="0.4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</row>
    <row r="1530" spans="1:110" x14ac:dyDescent="0.4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</row>
    <row r="1531" spans="1:110" x14ac:dyDescent="0.4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</row>
    <row r="1532" spans="1:110" x14ac:dyDescent="0.4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</row>
    <row r="1533" spans="1:110" x14ac:dyDescent="0.4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</row>
    <row r="1534" spans="1:110" x14ac:dyDescent="0.4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</row>
    <row r="1535" spans="1:110" x14ac:dyDescent="0.4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</row>
    <row r="1536" spans="1:110" x14ac:dyDescent="0.4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</row>
    <row r="1537" spans="1:110" x14ac:dyDescent="0.4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</row>
    <row r="1538" spans="1:110" x14ac:dyDescent="0.4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</row>
    <row r="1539" spans="1:110" x14ac:dyDescent="0.4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</row>
    <row r="1540" spans="1:110" x14ac:dyDescent="0.4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</row>
    <row r="1541" spans="1:110" x14ac:dyDescent="0.4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</row>
    <row r="1542" spans="1:110" x14ac:dyDescent="0.4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</row>
    <row r="1543" spans="1:110" x14ac:dyDescent="0.4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</row>
    <row r="1544" spans="1:110" x14ac:dyDescent="0.4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</row>
    <row r="1545" spans="1:110" x14ac:dyDescent="0.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</row>
    <row r="1546" spans="1:110" x14ac:dyDescent="0.4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</row>
    <row r="1547" spans="1:110" x14ac:dyDescent="0.4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</row>
    <row r="1548" spans="1:110" x14ac:dyDescent="0.4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</row>
    <row r="1549" spans="1:110" x14ac:dyDescent="0.4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</row>
    <row r="1550" spans="1:110" x14ac:dyDescent="0.4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</row>
    <row r="1551" spans="1:110" x14ac:dyDescent="0.4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</row>
    <row r="1552" spans="1:110" x14ac:dyDescent="0.4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</row>
    <row r="1553" spans="1:110" x14ac:dyDescent="0.4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</row>
    <row r="1554" spans="1:110" x14ac:dyDescent="0.4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</row>
    <row r="1555" spans="1:110" x14ac:dyDescent="0.4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</row>
    <row r="1556" spans="1:110" x14ac:dyDescent="0.4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</row>
    <row r="1557" spans="1:110" x14ac:dyDescent="0.4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</row>
    <row r="1558" spans="1:110" x14ac:dyDescent="0.4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</row>
    <row r="1559" spans="1:110" x14ac:dyDescent="0.4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</row>
    <row r="1560" spans="1:110" x14ac:dyDescent="0.4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</row>
    <row r="1561" spans="1:110" x14ac:dyDescent="0.4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</row>
    <row r="1562" spans="1:110" x14ac:dyDescent="0.4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</row>
    <row r="1563" spans="1:110" x14ac:dyDescent="0.4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</row>
    <row r="1564" spans="1:110" x14ac:dyDescent="0.4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</row>
    <row r="1565" spans="1:110" x14ac:dyDescent="0.4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</row>
    <row r="1566" spans="1:110" x14ac:dyDescent="0.4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</row>
    <row r="1567" spans="1:110" x14ac:dyDescent="0.4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</row>
    <row r="1568" spans="1:110" x14ac:dyDescent="0.4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</row>
    <row r="1569" spans="1:110" x14ac:dyDescent="0.4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</row>
    <row r="1570" spans="1:110" x14ac:dyDescent="0.4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</row>
    <row r="1571" spans="1:110" x14ac:dyDescent="0.4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</row>
    <row r="1572" spans="1:110" x14ac:dyDescent="0.4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</row>
    <row r="1573" spans="1:110" x14ac:dyDescent="0.4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</row>
    <row r="1574" spans="1:110" x14ac:dyDescent="0.4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</row>
    <row r="1575" spans="1:110" x14ac:dyDescent="0.4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</row>
    <row r="1576" spans="1:110" x14ac:dyDescent="0.4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</row>
    <row r="1577" spans="1:110" x14ac:dyDescent="0.4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</row>
    <row r="1578" spans="1:110" x14ac:dyDescent="0.4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</row>
    <row r="1579" spans="1:110" x14ac:dyDescent="0.4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</row>
    <row r="1580" spans="1:110" x14ac:dyDescent="0.4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</row>
    <row r="1581" spans="1:110" x14ac:dyDescent="0.4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</row>
    <row r="1582" spans="1:110" x14ac:dyDescent="0.4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</row>
    <row r="1583" spans="1:110" x14ac:dyDescent="0.4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</row>
    <row r="1584" spans="1:110" x14ac:dyDescent="0.4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</row>
    <row r="1585" spans="1:110" x14ac:dyDescent="0.4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</row>
    <row r="1586" spans="1:110" x14ac:dyDescent="0.4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</row>
    <row r="1587" spans="1:110" x14ac:dyDescent="0.4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</row>
    <row r="1588" spans="1:110" x14ac:dyDescent="0.4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</row>
    <row r="1589" spans="1:110" x14ac:dyDescent="0.4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</row>
    <row r="1590" spans="1:110" x14ac:dyDescent="0.4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</row>
    <row r="1591" spans="1:110" x14ac:dyDescent="0.4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</row>
    <row r="1592" spans="1:110" x14ac:dyDescent="0.4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</row>
    <row r="1593" spans="1:110" x14ac:dyDescent="0.4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</row>
    <row r="1594" spans="1:110" x14ac:dyDescent="0.4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</row>
    <row r="1595" spans="1:110" x14ac:dyDescent="0.4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</row>
    <row r="1596" spans="1:110" x14ac:dyDescent="0.4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</row>
    <row r="1597" spans="1:110" x14ac:dyDescent="0.4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</row>
    <row r="1598" spans="1:110" x14ac:dyDescent="0.4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</row>
    <row r="1599" spans="1:110" x14ac:dyDescent="0.4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</row>
    <row r="1600" spans="1:110" x14ac:dyDescent="0.4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</row>
    <row r="1601" spans="1:110" x14ac:dyDescent="0.4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</row>
    <row r="1602" spans="1:110" x14ac:dyDescent="0.4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</row>
    <row r="1603" spans="1:110" x14ac:dyDescent="0.4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</row>
    <row r="1604" spans="1:110" x14ac:dyDescent="0.4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</row>
    <row r="1605" spans="1:110" x14ac:dyDescent="0.4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</row>
    <row r="1606" spans="1:110" x14ac:dyDescent="0.4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</row>
    <row r="1607" spans="1:110" x14ac:dyDescent="0.4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</row>
    <row r="1608" spans="1:110" x14ac:dyDescent="0.4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</row>
    <row r="1609" spans="1:110" x14ac:dyDescent="0.4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</row>
    <row r="1610" spans="1:110" x14ac:dyDescent="0.4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</row>
    <row r="1611" spans="1:110" x14ac:dyDescent="0.4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</row>
    <row r="1612" spans="1:110" x14ac:dyDescent="0.4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</row>
    <row r="1613" spans="1:110" x14ac:dyDescent="0.4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</row>
    <row r="1614" spans="1:110" x14ac:dyDescent="0.4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</row>
    <row r="1615" spans="1:110" x14ac:dyDescent="0.4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</row>
    <row r="1616" spans="1:110" x14ac:dyDescent="0.4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</row>
    <row r="1617" spans="1:110" x14ac:dyDescent="0.4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</row>
    <row r="1618" spans="1:110" x14ac:dyDescent="0.4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</row>
    <row r="1619" spans="1:110" x14ac:dyDescent="0.4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</row>
    <row r="1620" spans="1:110" x14ac:dyDescent="0.4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</row>
    <row r="1621" spans="1:110" x14ac:dyDescent="0.4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</row>
    <row r="1622" spans="1:110" x14ac:dyDescent="0.4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</row>
    <row r="1623" spans="1:110" x14ac:dyDescent="0.4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</row>
    <row r="1624" spans="1:110" x14ac:dyDescent="0.4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</row>
    <row r="1625" spans="1:110" x14ac:dyDescent="0.4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</row>
    <row r="1626" spans="1:110" x14ac:dyDescent="0.4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</row>
    <row r="1627" spans="1:110" x14ac:dyDescent="0.4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</row>
    <row r="1628" spans="1:110" x14ac:dyDescent="0.4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</row>
    <row r="1629" spans="1:110" x14ac:dyDescent="0.4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</row>
    <row r="1630" spans="1:110" x14ac:dyDescent="0.4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</row>
    <row r="1631" spans="1:110" x14ac:dyDescent="0.4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</row>
    <row r="1632" spans="1:110" x14ac:dyDescent="0.4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</row>
    <row r="1633" spans="1:110" x14ac:dyDescent="0.4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</row>
    <row r="1634" spans="1:110" x14ac:dyDescent="0.4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</row>
    <row r="1635" spans="1:110" x14ac:dyDescent="0.4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</row>
    <row r="1636" spans="1:110" x14ac:dyDescent="0.4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</row>
    <row r="1637" spans="1:110" x14ac:dyDescent="0.4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</row>
    <row r="1638" spans="1:110" x14ac:dyDescent="0.4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</row>
    <row r="1639" spans="1:110" x14ac:dyDescent="0.4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</row>
    <row r="1640" spans="1:110" x14ac:dyDescent="0.4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</row>
    <row r="1641" spans="1:110" x14ac:dyDescent="0.4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</row>
    <row r="1642" spans="1:110" x14ac:dyDescent="0.4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</row>
    <row r="1643" spans="1:110" x14ac:dyDescent="0.4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</row>
    <row r="1644" spans="1:110" x14ac:dyDescent="0.4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</row>
    <row r="1645" spans="1:110" x14ac:dyDescent="0.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</row>
    <row r="1646" spans="1:110" x14ac:dyDescent="0.4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</row>
    <row r="1647" spans="1:110" x14ac:dyDescent="0.4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</row>
    <row r="1648" spans="1:110" x14ac:dyDescent="0.4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</row>
    <row r="1649" spans="1:110" x14ac:dyDescent="0.4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</row>
    <row r="1650" spans="1:110" x14ac:dyDescent="0.4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</row>
    <row r="1651" spans="1:110" x14ac:dyDescent="0.4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</row>
    <row r="1652" spans="1:110" x14ac:dyDescent="0.4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</row>
    <row r="1653" spans="1:110" x14ac:dyDescent="0.4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</row>
    <row r="1654" spans="1:110" x14ac:dyDescent="0.4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</row>
    <row r="1655" spans="1:110" x14ac:dyDescent="0.4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</row>
    <row r="1656" spans="1:110" x14ac:dyDescent="0.4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</row>
    <row r="1657" spans="1:110" x14ac:dyDescent="0.4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</row>
    <row r="1658" spans="1:110" x14ac:dyDescent="0.4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</row>
    <row r="1659" spans="1:110" x14ac:dyDescent="0.4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</row>
    <row r="1660" spans="1:110" x14ac:dyDescent="0.4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</row>
    <row r="1661" spans="1:110" x14ac:dyDescent="0.4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</row>
    <row r="1662" spans="1:110" x14ac:dyDescent="0.4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</row>
    <row r="1663" spans="1:110" x14ac:dyDescent="0.4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</row>
    <row r="1664" spans="1:110" x14ac:dyDescent="0.4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</row>
    <row r="1665" spans="1:110" x14ac:dyDescent="0.4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</row>
    <row r="1666" spans="1:110" x14ac:dyDescent="0.4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</row>
    <row r="1667" spans="1:110" x14ac:dyDescent="0.4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</row>
    <row r="1668" spans="1:110" x14ac:dyDescent="0.4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</row>
    <row r="1669" spans="1:110" x14ac:dyDescent="0.4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</row>
    <row r="1670" spans="1:110" x14ac:dyDescent="0.4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</row>
    <row r="1671" spans="1:110" x14ac:dyDescent="0.4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</row>
    <row r="1672" spans="1:110" x14ac:dyDescent="0.4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</row>
    <row r="1673" spans="1:110" x14ac:dyDescent="0.4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</row>
    <row r="1674" spans="1:110" x14ac:dyDescent="0.4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</row>
    <row r="1675" spans="1:110" x14ac:dyDescent="0.4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</row>
    <row r="1676" spans="1:110" x14ac:dyDescent="0.4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</row>
    <row r="1677" spans="1:110" x14ac:dyDescent="0.4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</row>
    <row r="1678" spans="1:110" x14ac:dyDescent="0.4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</row>
    <row r="1679" spans="1:110" x14ac:dyDescent="0.4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</row>
    <row r="1680" spans="1:110" x14ac:dyDescent="0.4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</row>
    <row r="1681" spans="1:110" x14ac:dyDescent="0.4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</row>
    <row r="1682" spans="1:110" x14ac:dyDescent="0.4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</row>
    <row r="1683" spans="1:110" x14ac:dyDescent="0.4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</row>
    <row r="1684" spans="1:110" x14ac:dyDescent="0.4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</row>
    <row r="1685" spans="1:110" x14ac:dyDescent="0.4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</row>
    <row r="1686" spans="1:110" x14ac:dyDescent="0.4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</row>
    <row r="1687" spans="1:110" x14ac:dyDescent="0.4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</row>
    <row r="1688" spans="1:110" x14ac:dyDescent="0.4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</row>
    <row r="1689" spans="1:110" x14ac:dyDescent="0.4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</row>
    <row r="1690" spans="1:110" x14ac:dyDescent="0.4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</row>
    <row r="1691" spans="1:110" x14ac:dyDescent="0.4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</row>
    <row r="1692" spans="1:110" x14ac:dyDescent="0.4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</row>
    <row r="1693" spans="1:110" x14ac:dyDescent="0.4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</row>
    <row r="1694" spans="1:110" x14ac:dyDescent="0.4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</row>
    <row r="1695" spans="1:110" x14ac:dyDescent="0.4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</row>
    <row r="1696" spans="1:110" x14ac:dyDescent="0.4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</row>
    <row r="1697" spans="1:110" x14ac:dyDescent="0.4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</row>
    <row r="1698" spans="1:110" x14ac:dyDescent="0.4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</row>
    <row r="1699" spans="1:110" x14ac:dyDescent="0.4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</row>
    <row r="1700" spans="1:110" x14ac:dyDescent="0.4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</row>
    <row r="1701" spans="1:110" x14ac:dyDescent="0.4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</row>
    <row r="1702" spans="1:110" x14ac:dyDescent="0.4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</row>
    <row r="1703" spans="1:110" x14ac:dyDescent="0.4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</row>
    <row r="1704" spans="1:110" x14ac:dyDescent="0.4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</row>
    <row r="1705" spans="1:110" x14ac:dyDescent="0.4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</row>
    <row r="1706" spans="1:110" x14ac:dyDescent="0.4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</row>
    <row r="1707" spans="1:110" x14ac:dyDescent="0.4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</row>
    <row r="1708" spans="1:110" x14ac:dyDescent="0.4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</row>
    <row r="1709" spans="1:110" x14ac:dyDescent="0.4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</row>
    <row r="1710" spans="1:110" x14ac:dyDescent="0.4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</row>
    <row r="1711" spans="1:110" x14ac:dyDescent="0.4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</row>
    <row r="1712" spans="1:110" x14ac:dyDescent="0.4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</row>
    <row r="1713" spans="1:110" x14ac:dyDescent="0.4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</row>
    <row r="1714" spans="1:110" x14ac:dyDescent="0.4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</row>
    <row r="1715" spans="1:110" x14ac:dyDescent="0.4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</row>
    <row r="1716" spans="1:110" x14ac:dyDescent="0.4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</row>
    <row r="1717" spans="1:110" x14ac:dyDescent="0.4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</row>
    <row r="1718" spans="1:110" x14ac:dyDescent="0.4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</row>
    <row r="1719" spans="1:110" x14ac:dyDescent="0.4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</row>
    <row r="1720" spans="1:110" x14ac:dyDescent="0.4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</row>
    <row r="1721" spans="1:110" x14ac:dyDescent="0.4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</row>
    <row r="1722" spans="1:110" x14ac:dyDescent="0.4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</row>
    <row r="1723" spans="1:110" x14ac:dyDescent="0.4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</row>
    <row r="1724" spans="1:110" x14ac:dyDescent="0.4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</row>
    <row r="1725" spans="1:110" x14ac:dyDescent="0.4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</row>
    <row r="1726" spans="1:110" x14ac:dyDescent="0.4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</row>
    <row r="1727" spans="1:110" x14ac:dyDescent="0.4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</row>
    <row r="1728" spans="1:110" x14ac:dyDescent="0.4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</row>
    <row r="1729" spans="1:110" x14ac:dyDescent="0.4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</row>
    <row r="1730" spans="1:110" x14ac:dyDescent="0.4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</row>
    <row r="1731" spans="1:110" x14ac:dyDescent="0.4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</row>
    <row r="1732" spans="1:110" x14ac:dyDescent="0.4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</row>
    <row r="1733" spans="1:110" x14ac:dyDescent="0.4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</row>
    <row r="1734" spans="1:110" x14ac:dyDescent="0.4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</row>
    <row r="1735" spans="1:110" x14ac:dyDescent="0.4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</row>
    <row r="1736" spans="1:110" x14ac:dyDescent="0.4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</row>
    <row r="1737" spans="1:110" x14ac:dyDescent="0.4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</row>
    <row r="1738" spans="1:110" x14ac:dyDescent="0.4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</row>
    <row r="1739" spans="1:110" x14ac:dyDescent="0.4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</row>
    <row r="1740" spans="1:110" x14ac:dyDescent="0.4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</row>
    <row r="1741" spans="1:110" x14ac:dyDescent="0.4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</row>
    <row r="1742" spans="1:110" x14ac:dyDescent="0.4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</row>
    <row r="1743" spans="1:110" x14ac:dyDescent="0.4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</row>
    <row r="1744" spans="1:110" x14ac:dyDescent="0.4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</row>
    <row r="1745" spans="1:110" x14ac:dyDescent="0.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</row>
    <row r="1746" spans="1:110" x14ac:dyDescent="0.4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</row>
    <row r="1747" spans="1:110" x14ac:dyDescent="0.4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</row>
    <row r="1748" spans="1:110" x14ac:dyDescent="0.4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</row>
    <row r="1749" spans="1:110" x14ac:dyDescent="0.4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</row>
    <row r="1750" spans="1:110" x14ac:dyDescent="0.4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</row>
    <row r="1751" spans="1:110" x14ac:dyDescent="0.4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</row>
    <row r="1752" spans="1:110" x14ac:dyDescent="0.4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</row>
    <row r="1753" spans="1:110" x14ac:dyDescent="0.4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</row>
    <row r="1754" spans="1:110" x14ac:dyDescent="0.4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</row>
    <row r="1755" spans="1:110" x14ac:dyDescent="0.4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</row>
    <row r="1756" spans="1:110" x14ac:dyDescent="0.4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</row>
    <row r="1757" spans="1:110" x14ac:dyDescent="0.4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</row>
    <row r="1758" spans="1:110" x14ac:dyDescent="0.4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</row>
    <row r="1759" spans="1:110" x14ac:dyDescent="0.4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</row>
    <row r="1760" spans="1:110" x14ac:dyDescent="0.4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</row>
    <row r="1761" spans="1:110" x14ac:dyDescent="0.4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</row>
    <row r="1762" spans="1:110" x14ac:dyDescent="0.4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</row>
    <row r="1763" spans="1:110" x14ac:dyDescent="0.4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</row>
    <row r="1764" spans="1:110" x14ac:dyDescent="0.4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</row>
    <row r="1765" spans="1:110" x14ac:dyDescent="0.4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</row>
    <row r="1766" spans="1:110" x14ac:dyDescent="0.4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</row>
    <row r="1767" spans="1:110" x14ac:dyDescent="0.4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</row>
    <row r="1768" spans="1:110" x14ac:dyDescent="0.4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</row>
    <row r="1769" spans="1:110" x14ac:dyDescent="0.4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</row>
    <row r="1770" spans="1:110" x14ac:dyDescent="0.4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</row>
    <row r="1771" spans="1:110" x14ac:dyDescent="0.4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</row>
    <row r="1772" spans="1:110" x14ac:dyDescent="0.4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</row>
    <row r="1773" spans="1:110" x14ac:dyDescent="0.4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</row>
    <row r="1774" spans="1:110" x14ac:dyDescent="0.4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</row>
    <row r="1775" spans="1:110" x14ac:dyDescent="0.4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</row>
    <row r="1776" spans="1:110" x14ac:dyDescent="0.4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</row>
    <row r="1777" spans="1:110" x14ac:dyDescent="0.4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</row>
    <row r="1778" spans="1:110" x14ac:dyDescent="0.4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</row>
    <row r="1779" spans="1:110" x14ac:dyDescent="0.4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</row>
    <row r="1780" spans="1:110" x14ac:dyDescent="0.4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</row>
    <row r="1781" spans="1:110" x14ac:dyDescent="0.4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</row>
    <row r="1782" spans="1:110" x14ac:dyDescent="0.4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</row>
    <row r="1783" spans="1:110" x14ac:dyDescent="0.4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</row>
    <row r="1784" spans="1:110" x14ac:dyDescent="0.4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</row>
    <row r="1785" spans="1:110" x14ac:dyDescent="0.4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</row>
    <row r="1786" spans="1:110" x14ac:dyDescent="0.4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</row>
    <row r="1787" spans="1:110" x14ac:dyDescent="0.4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</row>
    <row r="1788" spans="1:110" x14ac:dyDescent="0.4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</row>
    <row r="1789" spans="1:110" x14ac:dyDescent="0.4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</row>
    <row r="1790" spans="1:110" x14ac:dyDescent="0.4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</row>
    <row r="1791" spans="1:110" x14ac:dyDescent="0.4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</row>
    <row r="1792" spans="1:110" x14ac:dyDescent="0.4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</row>
    <row r="1793" spans="1:110" x14ac:dyDescent="0.4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</row>
    <row r="1794" spans="1:110" x14ac:dyDescent="0.4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</row>
    <row r="1795" spans="1:110" x14ac:dyDescent="0.4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</row>
    <row r="1796" spans="1:110" x14ac:dyDescent="0.4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</row>
    <row r="1797" spans="1:110" x14ac:dyDescent="0.4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</row>
    <row r="1798" spans="1:110" x14ac:dyDescent="0.4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</row>
    <row r="1799" spans="1:110" x14ac:dyDescent="0.4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</row>
    <row r="1800" spans="1:110" x14ac:dyDescent="0.4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</row>
    <row r="1801" spans="1:110" x14ac:dyDescent="0.4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</row>
    <row r="1802" spans="1:110" x14ac:dyDescent="0.4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</row>
    <row r="1803" spans="1:110" x14ac:dyDescent="0.4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</row>
    <row r="1804" spans="1:110" x14ac:dyDescent="0.4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</row>
    <row r="1805" spans="1:110" x14ac:dyDescent="0.4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</row>
    <row r="1806" spans="1:110" x14ac:dyDescent="0.4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</row>
    <row r="1807" spans="1:110" x14ac:dyDescent="0.4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</row>
    <row r="1808" spans="1:110" x14ac:dyDescent="0.4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</row>
    <row r="1809" spans="1:110" x14ac:dyDescent="0.4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</row>
    <row r="1810" spans="1:110" x14ac:dyDescent="0.4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</row>
    <row r="1811" spans="1:110" x14ac:dyDescent="0.4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</row>
    <row r="1812" spans="1:110" x14ac:dyDescent="0.4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</row>
    <row r="1813" spans="1:110" x14ac:dyDescent="0.4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</row>
    <row r="1814" spans="1:110" x14ac:dyDescent="0.4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</row>
    <row r="1815" spans="1:110" x14ac:dyDescent="0.4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</row>
    <row r="1816" spans="1:110" x14ac:dyDescent="0.4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</row>
    <row r="1817" spans="1:110" x14ac:dyDescent="0.4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</row>
    <row r="1818" spans="1:110" x14ac:dyDescent="0.4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</row>
    <row r="1819" spans="1:110" x14ac:dyDescent="0.4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</row>
    <row r="1820" spans="1:110" x14ac:dyDescent="0.4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</row>
    <row r="1821" spans="1:110" x14ac:dyDescent="0.4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</row>
    <row r="1822" spans="1:110" x14ac:dyDescent="0.4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</row>
    <row r="1823" spans="1:110" x14ac:dyDescent="0.4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</row>
    <row r="1824" spans="1:110" x14ac:dyDescent="0.4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</row>
    <row r="1825" spans="1:110" x14ac:dyDescent="0.4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</row>
    <row r="1826" spans="1:110" x14ac:dyDescent="0.4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</row>
    <row r="1827" spans="1:110" x14ac:dyDescent="0.4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</row>
    <row r="1828" spans="1:110" x14ac:dyDescent="0.4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</row>
    <row r="1829" spans="1:110" x14ac:dyDescent="0.4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</row>
    <row r="1830" spans="1:110" x14ac:dyDescent="0.4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</row>
    <row r="1831" spans="1:110" x14ac:dyDescent="0.4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</row>
    <row r="1832" spans="1:110" x14ac:dyDescent="0.4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</row>
    <row r="1833" spans="1:110" x14ac:dyDescent="0.4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</row>
    <row r="1834" spans="1:110" x14ac:dyDescent="0.4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</row>
    <row r="1835" spans="1:110" x14ac:dyDescent="0.4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</row>
    <row r="1836" spans="1:110" x14ac:dyDescent="0.4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</row>
    <row r="1837" spans="1:110" x14ac:dyDescent="0.4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</row>
    <row r="1838" spans="1:110" x14ac:dyDescent="0.4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</row>
    <row r="1839" spans="1:110" x14ac:dyDescent="0.4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</row>
    <row r="1840" spans="1:110" x14ac:dyDescent="0.4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</row>
    <row r="1841" spans="1:110" x14ac:dyDescent="0.4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</row>
    <row r="1842" spans="1:110" x14ac:dyDescent="0.4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</row>
    <row r="1843" spans="1:110" x14ac:dyDescent="0.4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</row>
    <row r="1844" spans="1:110" x14ac:dyDescent="0.4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</row>
    <row r="1845" spans="1:110" x14ac:dyDescent="0.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</row>
    <row r="1846" spans="1:110" x14ac:dyDescent="0.4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</row>
    <row r="1847" spans="1:110" x14ac:dyDescent="0.4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</row>
    <row r="1848" spans="1:110" x14ac:dyDescent="0.4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</row>
    <row r="1849" spans="1:110" x14ac:dyDescent="0.4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</row>
    <row r="1850" spans="1:110" x14ac:dyDescent="0.4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</row>
    <row r="1851" spans="1:110" x14ac:dyDescent="0.4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</row>
    <row r="1852" spans="1:110" x14ac:dyDescent="0.4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</row>
    <row r="1853" spans="1:110" x14ac:dyDescent="0.4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</row>
    <row r="1854" spans="1:110" x14ac:dyDescent="0.4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</row>
    <row r="1855" spans="1:110" x14ac:dyDescent="0.4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</row>
    <row r="1856" spans="1:110" x14ac:dyDescent="0.4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</row>
    <row r="1857" spans="1:110" x14ac:dyDescent="0.4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</row>
    <row r="1858" spans="1:110" x14ac:dyDescent="0.4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</row>
    <row r="1859" spans="1:110" x14ac:dyDescent="0.4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</row>
    <row r="1860" spans="1:110" x14ac:dyDescent="0.4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</row>
    <row r="1861" spans="1:110" x14ac:dyDescent="0.4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</row>
    <row r="1862" spans="1:110" x14ac:dyDescent="0.4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</row>
    <row r="1863" spans="1:110" x14ac:dyDescent="0.4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</row>
    <row r="1864" spans="1:110" x14ac:dyDescent="0.4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</row>
    <row r="1865" spans="1:110" x14ac:dyDescent="0.4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</row>
    <row r="1866" spans="1:110" x14ac:dyDescent="0.4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</row>
    <row r="1867" spans="1:110" x14ac:dyDescent="0.4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</row>
    <row r="1868" spans="1:110" x14ac:dyDescent="0.4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</row>
    <row r="1869" spans="1:110" x14ac:dyDescent="0.4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</row>
    <row r="1870" spans="1:110" x14ac:dyDescent="0.4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</row>
    <row r="1871" spans="1:110" x14ac:dyDescent="0.4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</row>
    <row r="1872" spans="1:110" x14ac:dyDescent="0.4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</row>
    <row r="1873" spans="1:110" x14ac:dyDescent="0.4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</row>
    <row r="1874" spans="1:110" x14ac:dyDescent="0.4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</row>
    <row r="1875" spans="1:110" x14ac:dyDescent="0.4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</row>
    <row r="1876" spans="1:110" x14ac:dyDescent="0.4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</row>
    <row r="1877" spans="1:110" x14ac:dyDescent="0.4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</row>
    <row r="1878" spans="1:110" x14ac:dyDescent="0.4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</row>
    <row r="1879" spans="1:110" x14ac:dyDescent="0.4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</row>
    <row r="1880" spans="1:110" x14ac:dyDescent="0.4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</row>
    <row r="1881" spans="1:110" x14ac:dyDescent="0.4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</row>
    <row r="1882" spans="1:110" x14ac:dyDescent="0.4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</row>
    <row r="1883" spans="1:110" x14ac:dyDescent="0.4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</row>
    <row r="1884" spans="1:110" x14ac:dyDescent="0.4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</row>
    <row r="1885" spans="1:110" x14ac:dyDescent="0.4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</row>
    <row r="1886" spans="1:110" x14ac:dyDescent="0.4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</row>
    <row r="1887" spans="1:110" x14ac:dyDescent="0.4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</row>
    <row r="1888" spans="1:110" x14ac:dyDescent="0.4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</row>
    <row r="1889" spans="1:110" x14ac:dyDescent="0.4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</row>
    <row r="1890" spans="1:110" x14ac:dyDescent="0.4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</row>
    <row r="1891" spans="1:110" x14ac:dyDescent="0.4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</row>
    <row r="1892" spans="1:110" x14ac:dyDescent="0.4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</row>
    <row r="1893" spans="1:110" x14ac:dyDescent="0.4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</row>
    <row r="1894" spans="1:110" x14ac:dyDescent="0.4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</row>
    <row r="1895" spans="1:110" x14ac:dyDescent="0.4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</row>
    <row r="1896" spans="1:110" x14ac:dyDescent="0.4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</row>
    <row r="1897" spans="1:110" x14ac:dyDescent="0.4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</row>
    <row r="1898" spans="1:110" x14ac:dyDescent="0.4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</row>
    <row r="1899" spans="1:110" x14ac:dyDescent="0.4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</row>
    <row r="1900" spans="1:110" x14ac:dyDescent="0.4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</row>
    <row r="1901" spans="1:110" x14ac:dyDescent="0.4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</row>
    <row r="1902" spans="1:110" x14ac:dyDescent="0.4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</row>
    <row r="1903" spans="1:110" x14ac:dyDescent="0.4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</row>
    <row r="1904" spans="1:110" x14ac:dyDescent="0.4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</row>
    <row r="1905" spans="1:110" x14ac:dyDescent="0.4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</row>
    <row r="1906" spans="1:110" x14ac:dyDescent="0.4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</row>
    <row r="1907" spans="1:110" x14ac:dyDescent="0.4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</row>
    <row r="1908" spans="1:110" x14ac:dyDescent="0.4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</row>
    <row r="1909" spans="1:110" x14ac:dyDescent="0.4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</row>
    <row r="1910" spans="1:110" x14ac:dyDescent="0.4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</row>
    <row r="1911" spans="1:110" x14ac:dyDescent="0.4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</row>
    <row r="1912" spans="1:110" x14ac:dyDescent="0.4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</row>
    <row r="1913" spans="1:110" x14ac:dyDescent="0.4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</row>
    <row r="1914" spans="1:110" x14ac:dyDescent="0.4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</row>
    <row r="1915" spans="1:110" x14ac:dyDescent="0.4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</row>
    <row r="1916" spans="1:110" x14ac:dyDescent="0.4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</row>
    <row r="1917" spans="1:110" x14ac:dyDescent="0.4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</row>
    <row r="1918" spans="1:110" x14ac:dyDescent="0.4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</row>
    <row r="1919" spans="1:110" x14ac:dyDescent="0.4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</row>
    <row r="1920" spans="1:110" x14ac:dyDescent="0.4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</row>
    <row r="1921" spans="1:110" x14ac:dyDescent="0.4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</row>
    <row r="1922" spans="1:110" x14ac:dyDescent="0.4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</row>
    <row r="1923" spans="1:110" x14ac:dyDescent="0.4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</row>
    <row r="1924" spans="1:110" x14ac:dyDescent="0.4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</row>
    <row r="1925" spans="1:110" x14ac:dyDescent="0.4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</row>
    <row r="1926" spans="1:110" x14ac:dyDescent="0.4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</row>
    <row r="1927" spans="1:110" x14ac:dyDescent="0.4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</row>
    <row r="1928" spans="1:110" x14ac:dyDescent="0.4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</row>
    <row r="1929" spans="1:110" x14ac:dyDescent="0.4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</row>
    <row r="1930" spans="1:110" x14ac:dyDescent="0.4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</row>
    <row r="1931" spans="1:110" x14ac:dyDescent="0.4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</row>
    <row r="1932" spans="1:110" x14ac:dyDescent="0.4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</row>
    <row r="1933" spans="1:110" x14ac:dyDescent="0.4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</row>
    <row r="1934" spans="1:110" x14ac:dyDescent="0.4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</row>
    <row r="1935" spans="1:110" x14ac:dyDescent="0.4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</row>
    <row r="1936" spans="1:110" x14ac:dyDescent="0.4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</row>
    <row r="1937" spans="1:110" x14ac:dyDescent="0.4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</row>
    <row r="1938" spans="1:110" x14ac:dyDescent="0.4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</row>
    <row r="1939" spans="1:110" x14ac:dyDescent="0.4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</row>
    <row r="1940" spans="1:110" x14ac:dyDescent="0.4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</row>
    <row r="1941" spans="1:110" x14ac:dyDescent="0.4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</row>
    <row r="1942" spans="1:110" x14ac:dyDescent="0.4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</row>
    <row r="1943" spans="1:110" x14ac:dyDescent="0.4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</row>
    <row r="1944" spans="1:110" x14ac:dyDescent="0.4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</row>
    <row r="1945" spans="1:110" x14ac:dyDescent="0.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</row>
    <row r="1946" spans="1:110" x14ac:dyDescent="0.4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</row>
    <row r="1947" spans="1:110" x14ac:dyDescent="0.4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</row>
    <row r="1948" spans="1:110" x14ac:dyDescent="0.4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</row>
    <row r="1949" spans="1:110" x14ac:dyDescent="0.4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</row>
    <row r="1950" spans="1:110" x14ac:dyDescent="0.4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</row>
    <row r="1951" spans="1:110" x14ac:dyDescent="0.4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</row>
    <row r="1952" spans="1:110" x14ac:dyDescent="0.4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</row>
    <row r="1953" spans="1:110" x14ac:dyDescent="0.4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</row>
    <row r="1954" spans="1:110" x14ac:dyDescent="0.4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</row>
    <row r="1955" spans="1:110" x14ac:dyDescent="0.4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</row>
    <row r="1956" spans="1:110" x14ac:dyDescent="0.4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</row>
    <row r="1957" spans="1:110" x14ac:dyDescent="0.4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</row>
    <row r="1958" spans="1:110" x14ac:dyDescent="0.4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</row>
    <row r="1959" spans="1:110" x14ac:dyDescent="0.4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</row>
    <row r="1960" spans="1:110" x14ac:dyDescent="0.4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</row>
    <row r="1961" spans="1:110" x14ac:dyDescent="0.4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</row>
    <row r="1962" spans="1:110" x14ac:dyDescent="0.4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</row>
    <row r="1963" spans="1:110" x14ac:dyDescent="0.4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</row>
    <row r="1964" spans="1:110" x14ac:dyDescent="0.4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</row>
    <row r="1965" spans="1:110" x14ac:dyDescent="0.4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</row>
    <row r="1966" spans="1:110" x14ac:dyDescent="0.4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</row>
    <row r="1967" spans="1:110" x14ac:dyDescent="0.4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</row>
    <row r="1968" spans="1:110" x14ac:dyDescent="0.4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</row>
    <row r="1969" spans="1:110" x14ac:dyDescent="0.4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</row>
    <row r="1970" spans="1:110" x14ac:dyDescent="0.4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</row>
    <row r="1971" spans="1:110" x14ac:dyDescent="0.4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</row>
    <row r="1972" spans="1:110" x14ac:dyDescent="0.4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</row>
    <row r="1973" spans="1:110" x14ac:dyDescent="0.4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</row>
    <row r="1974" spans="1:110" x14ac:dyDescent="0.4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</row>
    <row r="1975" spans="1:110" x14ac:dyDescent="0.4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</row>
    <row r="1976" spans="1:110" x14ac:dyDescent="0.4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</row>
    <row r="1977" spans="1:110" x14ac:dyDescent="0.4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</row>
    <row r="1978" spans="1:110" x14ac:dyDescent="0.4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</row>
    <row r="1979" spans="1:110" x14ac:dyDescent="0.4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</row>
    <row r="1980" spans="1:110" x14ac:dyDescent="0.4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</row>
    <row r="1981" spans="1:110" x14ac:dyDescent="0.4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</row>
    <row r="1982" spans="1:110" x14ac:dyDescent="0.4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</row>
    <row r="1983" spans="1:110" x14ac:dyDescent="0.4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</row>
    <row r="1984" spans="1:110" x14ac:dyDescent="0.4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</row>
    <row r="1985" spans="1:110" x14ac:dyDescent="0.4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</row>
    <row r="1986" spans="1:110" x14ac:dyDescent="0.4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</row>
    <row r="1987" spans="1:110" x14ac:dyDescent="0.4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</row>
    <row r="1988" spans="1:110" x14ac:dyDescent="0.4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</row>
    <row r="1989" spans="1:110" x14ac:dyDescent="0.4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</row>
    <row r="1990" spans="1:110" x14ac:dyDescent="0.4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</row>
    <row r="1991" spans="1:110" x14ac:dyDescent="0.4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</row>
    <row r="1992" spans="1:110" x14ac:dyDescent="0.4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</row>
    <row r="1993" spans="1:110" x14ac:dyDescent="0.4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</row>
    <row r="1994" spans="1:110" x14ac:dyDescent="0.4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</row>
    <row r="1995" spans="1:110" x14ac:dyDescent="0.4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</row>
    <row r="1996" spans="1:110" x14ac:dyDescent="0.4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</row>
    <row r="1997" spans="1:110" x14ac:dyDescent="0.4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</row>
    <row r="1998" spans="1:110" x14ac:dyDescent="0.4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</row>
    <row r="1999" spans="1:110" x14ac:dyDescent="0.4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</row>
    <row r="2000" spans="1:110" x14ac:dyDescent="0.4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</row>
    <row r="2001" spans="1:110" x14ac:dyDescent="0.4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</row>
    <row r="2002" spans="1:110" x14ac:dyDescent="0.4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</row>
    <row r="2003" spans="1:110" x14ac:dyDescent="0.4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</row>
    <row r="2004" spans="1:110" x14ac:dyDescent="0.4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</row>
    <row r="2005" spans="1:110" x14ac:dyDescent="0.4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</row>
    <row r="2006" spans="1:110" x14ac:dyDescent="0.4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</row>
    <row r="2007" spans="1:110" x14ac:dyDescent="0.4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</row>
    <row r="2008" spans="1:110" x14ac:dyDescent="0.4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</row>
    <row r="2009" spans="1:110" x14ac:dyDescent="0.4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</row>
    <row r="2010" spans="1:110" x14ac:dyDescent="0.4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</row>
    <row r="2011" spans="1:110" x14ac:dyDescent="0.4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</row>
    <row r="2012" spans="1:110" x14ac:dyDescent="0.4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</row>
    <row r="2013" spans="1:110" x14ac:dyDescent="0.4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</row>
    <row r="2014" spans="1:110" x14ac:dyDescent="0.4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</row>
    <row r="2015" spans="1:110" x14ac:dyDescent="0.4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</row>
    <row r="2016" spans="1:110" x14ac:dyDescent="0.4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</row>
    <row r="2017" spans="1:110" x14ac:dyDescent="0.4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</row>
    <row r="2018" spans="1:110" x14ac:dyDescent="0.4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</row>
    <row r="2019" spans="1:110" x14ac:dyDescent="0.4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</row>
    <row r="2020" spans="1:110" x14ac:dyDescent="0.4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</row>
    <row r="2021" spans="1:110" x14ac:dyDescent="0.4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</row>
    <row r="2022" spans="1:110" x14ac:dyDescent="0.4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</row>
    <row r="2023" spans="1:110" x14ac:dyDescent="0.4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</row>
    <row r="2024" spans="1:110" x14ac:dyDescent="0.4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</row>
    <row r="2025" spans="1:110" x14ac:dyDescent="0.4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</row>
    <row r="2026" spans="1:110" x14ac:dyDescent="0.4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</row>
    <row r="2027" spans="1:110" x14ac:dyDescent="0.4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</row>
    <row r="2028" spans="1:110" x14ac:dyDescent="0.4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</row>
    <row r="2029" spans="1:110" x14ac:dyDescent="0.4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</row>
    <row r="2030" spans="1:110" x14ac:dyDescent="0.4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</row>
    <row r="2031" spans="1:110" x14ac:dyDescent="0.4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</row>
    <row r="2032" spans="1:110" x14ac:dyDescent="0.4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</row>
    <row r="2033" spans="1:110" x14ac:dyDescent="0.4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</row>
    <row r="2034" spans="1:110" x14ac:dyDescent="0.4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</row>
    <row r="2035" spans="1:110" x14ac:dyDescent="0.4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</row>
    <row r="2036" spans="1:110" x14ac:dyDescent="0.4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</row>
    <row r="2037" spans="1:110" x14ac:dyDescent="0.4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</row>
    <row r="2038" spans="1:110" x14ac:dyDescent="0.4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</row>
    <row r="2039" spans="1:110" x14ac:dyDescent="0.4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</row>
    <row r="2040" spans="1:110" x14ac:dyDescent="0.4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</row>
    <row r="2041" spans="1:110" x14ac:dyDescent="0.4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</row>
    <row r="2042" spans="1:110" x14ac:dyDescent="0.4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</row>
    <row r="2043" spans="1:110" x14ac:dyDescent="0.4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</row>
    <row r="2044" spans="1:110" x14ac:dyDescent="0.4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</row>
    <row r="2045" spans="1:110" x14ac:dyDescent="0.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</row>
    <row r="2046" spans="1:110" x14ac:dyDescent="0.4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</row>
    <row r="2047" spans="1:110" x14ac:dyDescent="0.4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</row>
    <row r="2048" spans="1:110" x14ac:dyDescent="0.4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</row>
    <row r="2049" spans="1:110" x14ac:dyDescent="0.4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</row>
    <row r="2050" spans="1:110" x14ac:dyDescent="0.4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</row>
    <row r="2051" spans="1:110" x14ac:dyDescent="0.4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</row>
    <row r="2052" spans="1:110" x14ac:dyDescent="0.4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</row>
    <row r="2053" spans="1:110" x14ac:dyDescent="0.4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</row>
    <row r="2054" spans="1:110" x14ac:dyDescent="0.4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</row>
    <row r="2055" spans="1:110" x14ac:dyDescent="0.4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</row>
    <row r="2056" spans="1:110" x14ac:dyDescent="0.4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</row>
    <row r="2057" spans="1:110" x14ac:dyDescent="0.4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</row>
    <row r="2058" spans="1:110" x14ac:dyDescent="0.4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</row>
    <row r="2059" spans="1:110" x14ac:dyDescent="0.4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</row>
    <row r="2060" spans="1:110" x14ac:dyDescent="0.4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</row>
    <row r="2061" spans="1:110" x14ac:dyDescent="0.4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</row>
    <row r="2062" spans="1:110" x14ac:dyDescent="0.4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</row>
    <row r="2063" spans="1:110" x14ac:dyDescent="0.4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</row>
    <row r="2064" spans="1:110" x14ac:dyDescent="0.4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</row>
    <row r="2065" spans="1:110" x14ac:dyDescent="0.4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</row>
    <row r="2066" spans="1:110" x14ac:dyDescent="0.4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</row>
    <row r="2067" spans="1:110" x14ac:dyDescent="0.4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</row>
    <row r="2068" spans="1:110" x14ac:dyDescent="0.4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</row>
    <row r="2069" spans="1:110" x14ac:dyDescent="0.4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</row>
    <row r="2070" spans="1:110" x14ac:dyDescent="0.4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</row>
    <row r="2071" spans="1:110" x14ac:dyDescent="0.4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</row>
    <row r="2072" spans="1:110" x14ac:dyDescent="0.4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</row>
    <row r="2073" spans="1:110" x14ac:dyDescent="0.4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</row>
    <row r="2074" spans="1:110" x14ac:dyDescent="0.4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</row>
    <row r="2075" spans="1:110" x14ac:dyDescent="0.4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</row>
    <row r="2076" spans="1:110" x14ac:dyDescent="0.4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</row>
    <row r="2077" spans="1:110" x14ac:dyDescent="0.4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</row>
    <row r="2078" spans="1:110" x14ac:dyDescent="0.4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</row>
    <row r="2079" spans="1:110" x14ac:dyDescent="0.4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</row>
    <row r="2080" spans="1:110" x14ac:dyDescent="0.4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</row>
    <row r="2081" spans="1:110" x14ac:dyDescent="0.4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</row>
    <row r="2082" spans="1:110" x14ac:dyDescent="0.4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</row>
    <row r="2083" spans="1:110" x14ac:dyDescent="0.4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</row>
    <row r="2084" spans="1:110" x14ac:dyDescent="0.4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</row>
    <row r="2085" spans="1:110" x14ac:dyDescent="0.4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</row>
    <row r="2086" spans="1:110" x14ac:dyDescent="0.4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</row>
    <row r="2087" spans="1:110" x14ac:dyDescent="0.4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</row>
    <row r="2088" spans="1:110" x14ac:dyDescent="0.4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</row>
    <row r="2089" spans="1:110" x14ac:dyDescent="0.4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</row>
    <row r="2090" spans="1:110" x14ac:dyDescent="0.4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</row>
    <row r="2091" spans="1:110" x14ac:dyDescent="0.4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</row>
    <row r="2092" spans="1:110" x14ac:dyDescent="0.4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</row>
    <row r="2093" spans="1:110" x14ac:dyDescent="0.4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</row>
    <row r="2094" spans="1:110" x14ac:dyDescent="0.4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</row>
    <row r="2095" spans="1:110" x14ac:dyDescent="0.4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</row>
    <row r="2096" spans="1:110" x14ac:dyDescent="0.4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</row>
    <row r="2097" spans="1:110" x14ac:dyDescent="0.4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</row>
    <row r="2098" spans="1:110" x14ac:dyDescent="0.4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</row>
    <row r="2099" spans="1:110" x14ac:dyDescent="0.4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</row>
    <row r="2100" spans="1:110" x14ac:dyDescent="0.4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</row>
    <row r="2101" spans="1:110" x14ac:dyDescent="0.4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</row>
    <row r="2102" spans="1:110" x14ac:dyDescent="0.4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</row>
    <row r="2103" spans="1:110" x14ac:dyDescent="0.4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</row>
    <row r="2104" spans="1:110" x14ac:dyDescent="0.4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</row>
    <row r="2105" spans="1:110" x14ac:dyDescent="0.4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</row>
    <row r="2106" spans="1:110" x14ac:dyDescent="0.4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</row>
    <row r="2107" spans="1:110" x14ac:dyDescent="0.4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</row>
    <row r="2108" spans="1:110" x14ac:dyDescent="0.4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</row>
    <row r="2109" spans="1:110" x14ac:dyDescent="0.4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</row>
    <row r="2110" spans="1:110" x14ac:dyDescent="0.4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</row>
    <row r="2111" spans="1:110" x14ac:dyDescent="0.4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</row>
    <row r="2112" spans="1:110" x14ac:dyDescent="0.4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</row>
    <row r="2113" spans="1:110" x14ac:dyDescent="0.4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</row>
    <row r="2114" spans="1:110" x14ac:dyDescent="0.4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</row>
    <row r="2115" spans="1:110" x14ac:dyDescent="0.4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</row>
    <row r="2116" spans="1:110" x14ac:dyDescent="0.4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</row>
    <row r="2117" spans="1:110" x14ac:dyDescent="0.4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</row>
    <row r="2118" spans="1:110" x14ac:dyDescent="0.4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</row>
    <row r="2119" spans="1:110" x14ac:dyDescent="0.4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</row>
    <row r="2120" spans="1:110" x14ac:dyDescent="0.4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</row>
    <row r="2121" spans="1:110" x14ac:dyDescent="0.4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</row>
    <row r="2122" spans="1:110" x14ac:dyDescent="0.4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</row>
    <row r="2123" spans="1:110" x14ac:dyDescent="0.4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</row>
    <row r="2124" spans="1:110" x14ac:dyDescent="0.4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</row>
    <row r="2125" spans="1:110" x14ac:dyDescent="0.4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</row>
    <row r="2126" spans="1:110" x14ac:dyDescent="0.4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</row>
    <row r="2127" spans="1:110" x14ac:dyDescent="0.4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</row>
    <row r="2128" spans="1:110" x14ac:dyDescent="0.4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</row>
    <row r="2129" spans="1:110" x14ac:dyDescent="0.4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</row>
    <row r="2130" spans="1:110" x14ac:dyDescent="0.4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</row>
    <row r="2131" spans="1:110" x14ac:dyDescent="0.4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</row>
    <row r="2132" spans="1:110" x14ac:dyDescent="0.4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</row>
    <row r="2133" spans="1:110" x14ac:dyDescent="0.4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</row>
    <row r="2134" spans="1:110" x14ac:dyDescent="0.4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</row>
    <row r="2135" spans="1:110" x14ac:dyDescent="0.4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</row>
    <row r="2136" spans="1:110" x14ac:dyDescent="0.4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</row>
    <row r="2137" spans="1:110" x14ac:dyDescent="0.4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</row>
    <row r="2138" spans="1:110" x14ac:dyDescent="0.4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</row>
    <row r="2139" spans="1:110" x14ac:dyDescent="0.4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</row>
    <row r="2140" spans="1:110" x14ac:dyDescent="0.4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</row>
    <row r="2141" spans="1:110" x14ac:dyDescent="0.4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</row>
    <row r="2142" spans="1:110" x14ac:dyDescent="0.4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</row>
    <row r="2143" spans="1:110" x14ac:dyDescent="0.4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</row>
    <row r="2144" spans="1:110" x14ac:dyDescent="0.4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</row>
    <row r="2145" spans="1:110" x14ac:dyDescent="0.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</row>
    <row r="2146" spans="1:110" x14ac:dyDescent="0.4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</row>
    <row r="2147" spans="1:110" x14ac:dyDescent="0.4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</row>
    <row r="2148" spans="1:110" x14ac:dyDescent="0.4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</row>
    <row r="2149" spans="1:110" x14ac:dyDescent="0.4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</row>
    <row r="2150" spans="1:110" x14ac:dyDescent="0.4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</row>
    <row r="2151" spans="1:110" x14ac:dyDescent="0.4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</row>
    <row r="2152" spans="1:110" x14ac:dyDescent="0.4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</row>
    <row r="2153" spans="1:110" x14ac:dyDescent="0.4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</row>
    <row r="2154" spans="1:110" x14ac:dyDescent="0.4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</row>
    <row r="2155" spans="1:110" x14ac:dyDescent="0.4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</row>
    <row r="2156" spans="1:110" x14ac:dyDescent="0.4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</row>
    <row r="2157" spans="1:110" x14ac:dyDescent="0.4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</row>
    <row r="2158" spans="1:110" x14ac:dyDescent="0.4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</row>
    <row r="2159" spans="1:110" x14ac:dyDescent="0.4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</row>
    <row r="2160" spans="1:110" x14ac:dyDescent="0.4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</row>
    <row r="2161" spans="1:110" x14ac:dyDescent="0.4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</row>
    <row r="2162" spans="1:110" x14ac:dyDescent="0.4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</row>
    <row r="2163" spans="1:110" x14ac:dyDescent="0.4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</row>
    <row r="2164" spans="1:110" x14ac:dyDescent="0.4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</row>
    <row r="2165" spans="1:110" x14ac:dyDescent="0.4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</row>
    <row r="2166" spans="1:110" x14ac:dyDescent="0.4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</row>
    <row r="2167" spans="1:110" x14ac:dyDescent="0.4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</row>
    <row r="2168" spans="1:110" x14ac:dyDescent="0.4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</row>
    <row r="2169" spans="1:110" x14ac:dyDescent="0.4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</row>
    <row r="2170" spans="1:110" x14ac:dyDescent="0.4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</row>
    <row r="2171" spans="1:110" x14ac:dyDescent="0.4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</row>
    <row r="2172" spans="1:110" x14ac:dyDescent="0.4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</row>
    <row r="2173" spans="1:110" x14ac:dyDescent="0.4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</row>
    <row r="2174" spans="1:110" x14ac:dyDescent="0.4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</row>
    <row r="2175" spans="1:110" x14ac:dyDescent="0.4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</row>
    <row r="2176" spans="1:110" x14ac:dyDescent="0.4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</row>
    <row r="2177" spans="1:110" x14ac:dyDescent="0.4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</row>
    <row r="2178" spans="1:110" x14ac:dyDescent="0.4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</row>
    <row r="2179" spans="1:110" x14ac:dyDescent="0.4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</row>
    <row r="2180" spans="1:110" x14ac:dyDescent="0.4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</row>
    <row r="2181" spans="1:110" x14ac:dyDescent="0.4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</row>
    <row r="2182" spans="1:110" x14ac:dyDescent="0.4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</row>
    <row r="2183" spans="1:110" x14ac:dyDescent="0.4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</row>
    <row r="2184" spans="1:110" x14ac:dyDescent="0.4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</row>
    <row r="2185" spans="1:110" x14ac:dyDescent="0.4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</row>
    <row r="2186" spans="1:110" x14ac:dyDescent="0.4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</row>
    <row r="2187" spans="1:110" x14ac:dyDescent="0.4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</row>
    <row r="2188" spans="1:110" x14ac:dyDescent="0.4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  <c r="DC2188" s="1"/>
      <c r="DD2188" s="1"/>
      <c r="DE2188" s="1"/>
      <c r="DF2188" s="1"/>
    </row>
    <row r="2189" spans="1:110" x14ac:dyDescent="0.4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  <c r="DC2189" s="1"/>
      <c r="DD2189" s="1"/>
      <c r="DE2189" s="1"/>
      <c r="DF2189" s="1"/>
    </row>
    <row r="2190" spans="1:110" x14ac:dyDescent="0.4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  <c r="DC2190" s="1"/>
      <c r="DD2190" s="1"/>
      <c r="DE2190" s="1"/>
      <c r="DF2190" s="1"/>
    </row>
    <row r="2191" spans="1:110" x14ac:dyDescent="0.4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</row>
    <row r="2192" spans="1:110" x14ac:dyDescent="0.4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  <c r="DC2192" s="1"/>
      <c r="DD2192" s="1"/>
      <c r="DE2192" s="1"/>
      <c r="DF2192" s="1"/>
    </row>
    <row r="2193" spans="1:110" x14ac:dyDescent="0.4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  <c r="DC2193" s="1"/>
      <c r="DD2193" s="1"/>
      <c r="DE2193" s="1"/>
      <c r="DF2193" s="1"/>
    </row>
    <row r="2194" spans="1:110" x14ac:dyDescent="0.4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</row>
    <row r="2195" spans="1:110" x14ac:dyDescent="0.4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</row>
    <row r="2196" spans="1:110" x14ac:dyDescent="0.4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</row>
    <row r="2197" spans="1:110" x14ac:dyDescent="0.4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</row>
    <row r="2198" spans="1:110" x14ac:dyDescent="0.4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</row>
    <row r="2199" spans="1:110" x14ac:dyDescent="0.4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</row>
    <row r="2200" spans="1:110" x14ac:dyDescent="0.4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  <c r="DC2200" s="1"/>
      <c r="DD2200" s="1"/>
      <c r="DE2200" s="1"/>
      <c r="DF2200" s="1"/>
    </row>
    <row r="2201" spans="1:110" x14ac:dyDescent="0.4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  <c r="DC2201" s="1"/>
      <c r="DD2201" s="1"/>
      <c r="DE2201" s="1"/>
      <c r="DF2201" s="1"/>
    </row>
    <row r="2202" spans="1:110" x14ac:dyDescent="0.4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  <c r="DC2202" s="1"/>
      <c r="DD2202" s="1"/>
      <c r="DE2202" s="1"/>
      <c r="DF2202" s="1"/>
    </row>
    <row r="2203" spans="1:110" x14ac:dyDescent="0.4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  <c r="DC2203" s="1"/>
      <c r="DD2203" s="1"/>
      <c r="DE2203" s="1"/>
      <c r="DF2203" s="1"/>
    </row>
    <row r="2204" spans="1:110" x14ac:dyDescent="0.4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  <c r="DC2204" s="1"/>
      <c r="DD2204" s="1"/>
      <c r="DE2204" s="1"/>
      <c r="DF2204" s="1"/>
    </row>
    <row r="2205" spans="1:110" x14ac:dyDescent="0.4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  <c r="DC2205" s="1"/>
      <c r="DD2205" s="1"/>
      <c r="DE2205" s="1"/>
      <c r="DF2205" s="1"/>
    </row>
    <row r="2206" spans="1:110" x14ac:dyDescent="0.4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  <c r="DC2206" s="1"/>
      <c r="DD2206" s="1"/>
      <c r="DE2206" s="1"/>
      <c r="DF2206" s="1"/>
    </row>
    <row r="2207" spans="1:110" x14ac:dyDescent="0.4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  <c r="DC2207" s="1"/>
      <c r="DD2207" s="1"/>
      <c r="DE2207" s="1"/>
      <c r="DF2207" s="1"/>
    </row>
    <row r="2208" spans="1:110" x14ac:dyDescent="0.4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  <c r="DC2208" s="1"/>
      <c r="DD2208" s="1"/>
      <c r="DE2208" s="1"/>
      <c r="DF2208" s="1"/>
    </row>
    <row r="2209" spans="1:110" x14ac:dyDescent="0.4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  <c r="DC2209" s="1"/>
      <c r="DD2209" s="1"/>
      <c r="DE2209" s="1"/>
      <c r="DF2209" s="1"/>
    </row>
    <row r="2210" spans="1:110" x14ac:dyDescent="0.4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  <c r="DC2210" s="1"/>
      <c r="DD2210" s="1"/>
      <c r="DE2210" s="1"/>
      <c r="DF2210" s="1"/>
    </row>
    <row r="2211" spans="1:110" x14ac:dyDescent="0.4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  <c r="DC2211" s="1"/>
      <c r="DD2211" s="1"/>
      <c r="DE2211" s="1"/>
      <c r="DF2211" s="1"/>
    </row>
    <row r="2212" spans="1:110" x14ac:dyDescent="0.4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  <c r="DC2212" s="1"/>
      <c r="DD2212" s="1"/>
      <c r="DE2212" s="1"/>
      <c r="DF2212" s="1"/>
    </row>
    <row r="2213" spans="1:110" x14ac:dyDescent="0.4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  <c r="DC2213" s="1"/>
      <c r="DD2213" s="1"/>
      <c r="DE2213" s="1"/>
      <c r="DF2213" s="1"/>
    </row>
    <row r="2214" spans="1:110" x14ac:dyDescent="0.4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  <c r="DC2214" s="1"/>
      <c r="DD2214" s="1"/>
      <c r="DE2214" s="1"/>
      <c r="DF2214" s="1"/>
    </row>
    <row r="2215" spans="1:110" x14ac:dyDescent="0.4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  <c r="DC2215" s="1"/>
      <c r="DD2215" s="1"/>
      <c r="DE2215" s="1"/>
      <c r="DF2215" s="1"/>
    </row>
    <row r="2216" spans="1:110" x14ac:dyDescent="0.4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  <c r="DC2216" s="1"/>
      <c r="DD2216" s="1"/>
      <c r="DE2216" s="1"/>
      <c r="DF2216" s="1"/>
    </row>
    <row r="2217" spans="1:110" x14ac:dyDescent="0.4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  <c r="DC2217" s="1"/>
      <c r="DD2217" s="1"/>
      <c r="DE2217" s="1"/>
      <c r="DF2217" s="1"/>
    </row>
    <row r="2218" spans="1:110" x14ac:dyDescent="0.4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</row>
    <row r="2219" spans="1:110" x14ac:dyDescent="0.4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</row>
    <row r="2220" spans="1:110" x14ac:dyDescent="0.4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</row>
    <row r="2221" spans="1:110" x14ac:dyDescent="0.4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</row>
    <row r="2222" spans="1:110" x14ac:dyDescent="0.4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</row>
    <row r="2223" spans="1:110" x14ac:dyDescent="0.4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</row>
    <row r="2224" spans="1:110" x14ac:dyDescent="0.4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</row>
    <row r="2225" spans="1:110" x14ac:dyDescent="0.4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</row>
    <row r="2226" spans="1:110" x14ac:dyDescent="0.4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</row>
    <row r="2227" spans="1:110" x14ac:dyDescent="0.4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</row>
    <row r="2228" spans="1:110" x14ac:dyDescent="0.4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</row>
    <row r="2229" spans="1:110" x14ac:dyDescent="0.4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</row>
    <row r="2230" spans="1:110" x14ac:dyDescent="0.4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</row>
    <row r="2231" spans="1:110" x14ac:dyDescent="0.4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</row>
    <row r="2232" spans="1:110" x14ac:dyDescent="0.4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</row>
    <row r="2233" spans="1:110" x14ac:dyDescent="0.4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</row>
    <row r="2234" spans="1:110" x14ac:dyDescent="0.4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</row>
    <row r="2235" spans="1:110" x14ac:dyDescent="0.4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</row>
    <row r="2236" spans="1:110" x14ac:dyDescent="0.4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</row>
    <row r="2237" spans="1:110" x14ac:dyDescent="0.4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</row>
    <row r="2238" spans="1:110" x14ac:dyDescent="0.4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</row>
    <row r="2239" spans="1:110" x14ac:dyDescent="0.4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</row>
    <row r="2240" spans="1:110" x14ac:dyDescent="0.4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</row>
    <row r="2241" spans="1:110" x14ac:dyDescent="0.4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</row>
    <row r="2242" spans="1:110" x14ac:dyDescent="0.4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</row>
    <row r="2243" spans="1:110" x14ac:dyDescent="0.4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</row>
    <row r="2244" spans="1:110" x14ac:dyDescent="0.4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</row>
    <row r="2245" spans="1:110" x14ac:dyDescent="0.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</row>
    <row r="2246" spans="1:110" x14ac:dyDescent="0.4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</row>
    <row r="2247" spans="1:110" x14ac:dyDescent="0.4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</row>
    <row r="2248" spans="1:110" x14ac:dyDescent="0.4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</row>
    <row r="2249" spans="1:110" x14ac:dyDescent="0.4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</row>
    <row r="2250" spans="1:110" x14ac:dyDescent="0.4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</row>
    <row r="2251" spans="1:110" x14ac:dyDescent="0.4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</row>
    <row r="2252" spans="1:110" x14ac:dyDescent="0.4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</row>
    <row r="2253" spans="1:110" x14ac:dyDescent="0.4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</row>
    <row r="2254" spans="1:110" x14ac:dyDescent="0.4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</row>
    <row r="2255" spans="1:110" x14ac:dyDescent="0.4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</row>
    <row r="2256" spans="1:110" x14ac:dyDescent="0.4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</row>
    <row r="2257" spans="1:110" x14ac:dyDescent="0.4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</row>
    <row r="2258" spans="1:110" x14ac:dyDescent="0.4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</row>
    <row r="2259" spans="1:110" x14ac:dyDescent="0.4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</row>
    <row r="2260" spans="1:110" x14ac:dyDescent="0.4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</row>
    <row r="2261" spans="1:110" x14ac:dyDescent="0.4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</row>
    <row r="2262" spans="1:110" x14ac:dyDescent="0.4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</row>
    <row r="2263" spans="1:110" x14ac:dyDescent="0.4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</row>
    <row r="2264" spans="1:110" x14ac:dyDescent="0.4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</row>
    <row r="2265" spans="1:110" x14ac:dyDescent="0.4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</row>
    <row r="2266" spans="1:110" x14ac:dyDescent="0.4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</row>
    <row r="2267" spans="1:110" x14ac:dyDescent="0.4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</row>
    <row r="2268" spans="1:110" x14ac:dyDescent="0.4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</row>
    <row r="2269" spans="1:110" x14ac:dyDescent="0.4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</row>
    <row r="2270" spans="1:110" x14ac:dyDescent="0.4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</row>
    <row r="2271" spans="1:110" x14ac:dyDescent="0.4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</row>
    <row r="2272" spans="1:110" x14ac:dyDescent="0.4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</row>
    <row r="2273" spans="1:110" x14ac:dyDescent="0.4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</row>
    <row r="2274" spans="1:110" x14ac:dyDescent="0.4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</row>
    <row r="2275" spans="1:110" x14ac:dyDescent="0.4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</row>
    <row r="2276" spans="1:110" x14ac:dyDescent="0.4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</row>
    <row r="2277" spans="1:110" x14ac:dyDescent="0.4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</row>
    <row r="2278" spans="1:110" x14ac:dyDescent="0.4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</row>
    <row r="2279" spans="1:110" x14ac:dyDescent="0.4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</row>
    <row r="2280" spans="1:110" x14ac:dyDescent="0.4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</row>
    <row r="2281" spans="1:110" x14ac:dyDescent="0.4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</row>
    <row r="2282" spans="1:110" x14ac:dyDescent="0.4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</row>
    <row r="2283" spans="1:110" x14ac:dyDescent="0.4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</row>
    <row r="2284" spans="1:110" x14ac:dyDescent="0.4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</row>
    <row r="2285" spans="1:110" x14ac:dyDescent="0.4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</row>
    <row r="2286" spans="1:110" x14ac:dyDescent="0.4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</row>
    <row r="2287" spans="1:110" x14ac:dyDescent="0.4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</row>
    <row r="2288" spans="1:110" x14ac:dyDescent="0.4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</row>
    <row r="2289" spans="1:110" x14ac:dyDescent="0.4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</row>
    <row r="2290" spans="1:110" x14ac:dyDescent="0.4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</row>
    <row r="2291" spans="1:110" x14ac:dyDescent="0.4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</row>
    <row r="2292" spans="1:110" x14ac:dyDescent="0.4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</row>
    <row r="2293" spans="1:110" x14ac:dyDescent="0.4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</row>
    <row r="2294" spans="1:110" x14ac:dyDescent="0.4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</row>
    <row r="2295" spans="1:110" x14ac:dyDescent="0.4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</row>
    <row r="2296" spans="1:110" x14ac:dyDescent="0.4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</row>
    <row r="2297" spans="1:110" x14ac:dyDescent="0.4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</row>
    <row r="2298" spans="1:110" x14ac:dyDescent="0.4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</row>
    <row r="2299" spans="1:110" x14ac:dyDescent="0.4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</row>
    <row r="2300" spans="1:110" x14ac:dyDescent="0.4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</row>
    <row r="2301" spans="1:110" x14ac:dyDescent="0.4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</row>
    <row r="2302" spans="1:110" x14ac:dyDescent="0.4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</row>
    <row r="2303" spans="1:110" x14ac:dyDescent="0.4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</row>
    <row r="2304" spans="1:110" x14ac:dyDescent="0.4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</row>
    <row r="2305" spans="1:110" x14ac:dyDescent="0.4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</row>
    <row r="2306" spans="1:110" x14ac:dyDescent="0.4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</row>
    <row r="2307" spans="1:110" x14ac:dyDescent="0.4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</row>
    <row r="2308" spans="1:110" x14ac:dyDescent="0.4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</row>
    <row r="2309" spans="1:110" x14ac:dyDescent="0.4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</row>
    <row r="2310" spans="1:110" x14ac:dyDescent="0.4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</row>
    <row r="2311" spans="1:110" x14ac:dyDescent="0.4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</row>
    <row r="2312" spans="1:110" x14ac:dyDescent="0.4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</row>
    <row r="2313" spans="1:110" x14ac:dyDescent="0.4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</row>
    <row r="2314" spans="1:110" x14ac:dyDescent="0.4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</row>
    <row r="2315" spans="1:110" x14ac:dyDescent="0.4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</row>
    <row r="2316" spans="1:110" x14ac:dyDescent="0.4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</row>
    <row r="2317" spans="1:110" x14ac:dyDescent="0.4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</row>
    <row r="2318" spans="1:110" x14ac:dyDescent="0.4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</row>
    <row r="2319" spans="1:110" x14ac:dyDescent="0.4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</row>
    <row r="2320" spans="1:110" x14ac:dyDescent="0.4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</row>
    <row r="2321" spans="1:110" x14ac:dyDescent="0.4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</row>
    <row r="2322" spans="1:110" x14ac:dyDescent="0.4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</row>
    <row r="2323" spans="1:110" x14ac:dyDescent="0.4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</row>
    <row r="2324" spans="1:110" x14ac:dyDescent="0.4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</row>
    <row r="2325" spans="1:110" x14ac:dyDescent="0.4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</row>
    <row r="2326" spans="1:110" x14ac:dyDescent="0.4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</row>
    <row r="2327" spans="1:110" x14ac:dyDescent="0.4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</row>
    <row r="2328" spans="1:110" x14ac:dyDescent="0.4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</row>
    <row r="2329" spans="1:110" x14ac:dyDescent="0.4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</row>
    <row r="2330" spans="1:110" x14ac:dyDescent="0.4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  <c r="DC2330" s="1"/>
      <c r="DD2330" s="1"/>
      <c r="DE2330" s="1"/>
      <c r="DF2330" s="1"/>
    </row>
    <row r="2331" spans="1:110" x14ac:dyDescent="0.4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  <c r="DC2331" s="1"/>
      <c r="DD2331" s="1"/>
      <c r="DE2331" s="1"/>
      <c r="DF2331" s="1"/>
    </row>
    <row r="2332" spans="1:110" x14ac:dyDescent="0.4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</row>
    <row r="2333" spans="1:110" x14ac:dyDescent="0.4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</row>
    <row r="2334" spans="1:110" x14ac:dyDescent="0.4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  <c r="DC2334" s="1"/>
      <c r="DD2334" s="1"/>
      <c r="DE2334" s="1"/>
      <c r="DF2334" s="1"/>
    </row>
    <row r="2335" spans="1:110" x14ac:dyDescent="0.4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  <c r="DC2335" s="1"/>
      <c r="DD2335" s="1"/>
      <c r="DE2335" s="1"/>
      <c r="DF2335" s="1"/>
    </row>
    <row r="2336" spans="1:110" x14ac:dyDescent="0.4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</row>
    <row r="2337" spans="1:110" x14ac:dyDescent="0.4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</row>
    <row r="2338" spans="1:110" x14ac:dyDescent="0.4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</row>
    <row r="2339" spans="1:110" x14ac:dyDescent="0.4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</row>
    <row r="2340" spans="1:110" x14ac:dyDescent="0.4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  <c r="DC2340" s="1"/>
      <c r="DD2340" s="1"/>
      <c r="DE2340" s="1"/>
      <c r="DF2340" s="1"/>
    </row>
    <row r="2341" spans="1:110" x14ac:dyDescent="0.4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</row>
    <row r="2342" spans="1:110" x14ac:dyDescent="0.4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</row>
    <row r="2343" spans="1:110" x14ac:dyDescent="0.4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  <c r="DC2343" s="1"/>
      <c r="DD2343" s="1"/>
      <c r="DE2343" s="1"/>
      <c r="DF2343" s="1"/>
    </row>
    <row r="2344" spans="1:110" x14ac:dyDescent="0.4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  <c r="DC2344" s="1"/>
      <c r="DD2344" s="1"/>
      <c r="DE2344" s="1"/>
      <c r="DF2344" s="1"/>
    </row>
    <row r="2345" spans="1:110" x14ac:dyDescent="0.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  <c r="DC2345" s="1"/>
      <c r="DD2345" s="1"/>
      <c r="DE2345" s="1"/>
      <c r="DF2345" s="1"/>
    </row>
    <row r="2346" spans="1:110" x14ac:dyDescent="0.4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</row>
    <row r="2347" spans="1:110" x14ac:dyDescent="0.4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</row>
    <row r="2348" spans="1:110" x14ac:dyDescent="0.4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</row>
    <row r="2349" spans="1:110" x14ac:dyDescent="0.4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</row>
    <row r="2350" spans="1:110" x14ac:dyDescent="0.4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</row>
    <row r="2351" spans="1:110" x14ac:dyDescent="0.4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</row>
    <row r="2352" spans="1:110" x14ac:dyDescent="0.4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</row>
    <row r="2353" spans="1:110" x14ac:dyDescent="0.4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</row>
    <row r="2354" spans="1:110" x14ac:dyDescent="0.4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</row>
    <row r="2355" spans="1:110" x14ac:dyDescent="0.4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</row>
    <row r="2356" spans="1:110" x14ac:dyDescent="0.4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</row>
    <row r="2357" spans="1:110" x14ac:dyDescent="0.4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</row>
    <row r="2358" spans="1:110" x14ac:dyDescent="0.4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</row>
    <row r="2359" spans="1:110" x14ac:dyDescent="0.4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</row>
    <row r="2360" spans="1:110" x14ac:dyDescent="0.4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</row>
    <row r="2361" spans="1:110" x14ac:dyDescent="0.4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</row>
    <row r="2362" spans="1:110" x14ac:dyDescent="0.4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</row>
    <row r="2363" spans="1:110" x14ac:dyDescent="0.4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</row>
    <row r="2364" spans="1:110" x14ac:dyDescent="0.4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</row>
    <row r="2365" spans="1:110" x14ac:dyDescent="0.4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</row>
    <row r="2366" spans="1:110" x14ac:dyDescent="0.4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</row>
    <row r="2367" spans="1:110" x14ac:dyDescent="0.4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</row>
    <row r="2368" spans="1:110" x14ac:dyDescent="0.4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</row>
    <row r="2369" spans="1:110" x14ac:dyDescent="0.4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</row>
    <row r="2370" spans="1:110" x14ac:dyDescent="0.4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</row>
    <row r="2371" spans="1:110" x14ac:dyDescent="0.4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</row>
    <row r="2372" spans="1:110" x14ac:dyDescent="0.4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</row>
    <row r="2373" spans="1:110" x14ac:dyDescent="0.4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</row>
    <row r="2374" spans="1:110" x14ac:dyDescent="0.4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</row>
    <row r="2375" spans="1:110" x14ac:dyDescent="0.4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</row>
    <row r="2376" spans="1:110" x14ac:dyDescent="0.4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</row>
    <row r="2377" spans="1:110" x14ac:dyDescent="0.4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</row>
    <row r="2378" spans="1:110" x14ac:dyDescent="0.4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</row>
    <row r="2379" spans="1:110" x14ac:dyDescent="0.4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</row>
    <row r="2380" spans="1:110" x14ac:dyDescent="0.4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</row>
    <row r="2381" spans="1:110" x14ac:dyDescent="0.4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</row>
    <row r="2382" spans="1:110" x14ac:dyDescent="0.4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</row>
    <row r="2383" spans="1:110" x14ac:dyDescent="0.4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</row>
    <row r="2384" spans="1:110" x14ac:dyDescent="0.4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</row>
    <row r="2385" spans="1:110" x14ac:dyDescent="0.4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</row>
    <row r="2386" spans="1:110" x14ac:dyDescent="0.4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</row>
    <row r="2387" spans="1:110" x14ac:dyDescent="0.4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</row>
    <row r="2388" spans="1:110" x14ac:dyDescent="0.4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</row>
    <row r="2389" spans="1:110" x14ac:dyDescent="0.4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</row>
    <row r="2390" spans="1:110" x14ac:dyDescent="0.4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</row>
    <row r="2391" spans="1:110" x14ac:dyDescent="0.4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</row>
    <row r="2392" spans="1:110" x14ac:dyDescent="0.4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</row>
    <row r="2393" spans="1:110" x14ac:dyDescent="0.4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</row>
    <row r="2394" spans="1:110" x14ac:dyDescent="0.4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</row>
    <row r="2395" spans="1:110" x14ac:dyDescent="0.4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</row>
    <row r="2396" spans="1:110" x14ac:dyDescent="0.4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</row>
    <row r="2397" spans="1:110" x14ac:dyDescent="0.4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</row>
    <row r="2398" spans="1:110" x14ac:dyDescent="0.4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</row>
    <row r="2399" spans="1:110" x14ac:dyDescent="0.4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</row>
    <row r="2400" spans="1:110" x14ac:dyDescent="0.4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</row>
    <row r="2401" spans="1:110" x14ac:dyDescent="0.4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  <c r="DC2401" s="1"/>
      <c r="DD2401" s="1"/>
      <c r="DE2401" s="1"/>
      <c r="DF2401" s="1"/>
    </row>
    <row r="2402" spans="1:110" x14ac:dyDescent="0.4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  <c r="DC2402" s="1"/>
      <c r="DD2402" s="1"/>
      <c r="DE2402" s="1"/>
      <c r="DF2402" s="1"/>
    </row>
    <row r="2403" spans="1:110" x14ac:dyDescent="0.4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  <c r="DC2403" s="1"/>
      <c r="DD2403" s="1"/>
      <c r="DE2403" s="1"/>
      <c r="DF2403" s="1"/>
    </row>
    <row r="2404" spans="1:110" x14ac:dyDescent="0.4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  <c r="DC2404" s="1"/>
      <c r="DD2404" s="1"/>
      <c r="DE2404" s="1"/>
      <c r="DF2404" s="1"/>
    </row>
    <row r="2405" spans="1:110" x14ac:dyDescent="0.4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  <c r="DC2405" s="1"/>
      <c r="DD2405" s="1"/>
      <c r="DE2405" s="1"/>
      <c r="DF2405" s="1"/>
    </row>
    <row r="2406" spans="1:110" x14ac:dyDescent="0.4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  <c r="DC2406" s="1"/>
      <c r="DD2406" s="1"/>
      <c r="DE2406" s="1"/>
      <c r="DF2406" s="1"/>
    </row>
    <row r="2407" spans="1:110" x14ac:dyDescent="0.4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  <c r="DC2407" s="1"/>
      <c r="DD2407" s="1"/>
      <c r="DE2407" s="1"/>
      <c r="DF2407" s="1"/>
    </row>
    <row r="2408" spans="1:110" x14ac:dyDescent="0.4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  <c r="DC2408" s="1"/>
      <c r="DD2408" s="1"/>
      <c r="DE2408" s="1"/>
      <c r="DF2408" s="1"/>
    </row>
    <row r="2409" spans="1:110" x14ac:dyDescent="0.4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  <c r="DC2409" s="1"/>
      <c r="DD2409" s="1"/>
      <c r="DE2409" s="1"/>
      <c r="DF2409" s="1"/>
    </row>
    <row r="2410" spans="1:110" x14ac:dyDescent="0.4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  <c r="DC2410" s="1"/>
      <c r="DD2410" s="1"/>
      <c r="DE2410" s="1"/>
      <c r="DF2410" s="1"/>
    </row>
    <row r="2411" spans="1:110" x14ac:dyDescent="0.4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  <c r="DC2411" s="1"/>
      <c r="DD2411" s="1"/>
      <c r="DE2411" s="1"/>
      <c r="DF2411" s="1"/>
    </row>
    <row r="2412" spans="1:110" x14ac:dyDescent="0.4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  <c r="DC2412" s="1"/>
      <c r="DD2412" s="1"/>
      <c r="DE2412" s="1"/>
      <c r="DF2412" s="1"/>
    </row>
    <row r="2413" spans="1:110" x14ac:dyDescent="0.4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  <c r="DC2413" s="1"/>
      <c r="DD2413" s="1"/>
      <c r="DE2413" s="1"/>
      <c r="DF2413" s="1"/>
    </row>
    <row r="2414" spans="1:110" x14ac:dyDescent="0.4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  <c r="DC2414" s="1"/>
      <c r="DD2414" s="1"/>
      <c r="DE2414" s="1"/>
      <c r="DF2414" s="1"/>
    </row>
    <row r="2415" spans="1:110" x14ac:dyDescent="0.4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  <c r="DC2415" s="1"/>
      <c r="DD2415" s="1"/>
      <c r="DE2415" s="1"/>
      <c r="DF2415" s="1"/>
    </row>
    <row r="2416" spans="1:110" x14ac:dyDescent="0.4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  <c r="DC2416" s="1"/>
      <c r="DD2416" s="1"/>
      <c r="DE2416" s="1"/>
      <c r="DF2416" s="1"/>
    </row>
    <row r="2417" spans="1:110" x14ac:dyDescent="0.4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  <c r="DC2417" s="1"/>
      <c r="DD2417" s="1"/>
      <c r="DE2417" s="1"/>
      <c r="DF2417" s="1"/>
    </row>
    <row r="2418" spans="1:110" x14ac:dyDescent="0.4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  <c r="DC2418" s="1"/>
      <c r="DD2418" s="1"/>
      <c r="DE2418" s="1"/>
      <c r="DF2418" s="1"/>
    </row>
    <row r="2419" spans="1:110" x14ac:dyDescent="0.4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  <c r="DC2419" s="1"/>
      <c r="DD2419" s="1"/>
      <c r="DE2419" s="1"/>
      <c r="DF2419" s="1"/>
    </row>
    <row r="2420" spans="1:110" x14ac:dyDescent="0.4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  <c r="DF2420" s="1"/>
    </row>
    <row r="2421" spans="1:110" x14ac:dyDescent="0.4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  <c r="DC2421" s="1"/>
      <c r="DD2421" s="1"/>
      <c r="DE2421" s="1"/>
      <c r="DF2421" s="1"/>
    </row>
    <row r="2422" spans="1:110" x14ac:dyDescent="0.4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  <c r="DC2422" s="1"/>
      <c r="DD2422" s="1"/>
      <c r="DE2422" s="1"/>
      <c r="DF2422" s="1"/>
    </row>
    <row r="2423" spans="1:110" x14ac:dyDescent="0.4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  <c r="DC2423" s="1"/>
      <c r="DD2423" s="1"/>
      <c r="DE2423" s="1"/>
      <c r="DF2423" s="1"/>
    </row>
    <row r="2424" spans="1:110" x14ac:dyDescent="0.4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  <c r="DC2424" s="1"/>
      <c r="DD2424" s="1"/>
      <c r="DE2424" s="1"/>
      <c r="DF2424" s="1"/>
    </row>
    <row r="2425" spans="1:110" x14ac:dyDescent="0.4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  <c r="DC2425" s="1"/>
      <c r="DD2425" s="1"/>
      <c r="DE2425" s="1"/>
      <c r="DF2425" s="1"/>
    </row>
    <row r="2426" spans="1:110" x14ac:dyDescent="0.4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  <c r="CV2426" s="1"/>
      <c r="CW2426" s="1"/>
      <c r="CX2426" s="1"/>
      <c r="CY2426" s="1"/>
      <c r="CZ2426" s="1"/>
      <c r="DA2426" s="1"/>
      <c r="DB2426" s="1"/>
      <c r="DC2426" s="1"/>
      <c r="DD2426" s="1"/>
      <c r="DE2426" s="1"/>
      <c r="DF2426" s="1"/>
    </row>
    <row r="2427" spans="1:110" x14ac:dyDescent="0.4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  <c r="CV2427" s="1"/>
      <c r="CW2427" s="1"/>
      <c r="CX2427" s="1"/>
      <c r="CY2427" s="1"/>
      <c r="CZ2427" s="1"/>
      <c r="DA2427" s="1"/>
      <c r="DB2427" s="1"/>
      <c r="DC2427" s="1"/>
      <c r="DD2427" s="1"/>
      <c r="DE2427" s="1"/>
      <c r="DF2427" s="1"/>
    </row>
    <row r="2428" spans="1:110" x14ac:dyDescent="0.4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  <c r="DC2428" s="1"/>
      <c r="DD2428" s="1"/>
      <c r="DE2428" s="1"/>
      <c r="DF2428" s="1"/>
    </row>
    <row r="2429" spans="1:110" x14ac:dyDescent="0.4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  <c r="CV2429" s="1"/>
      <c r="CW2429" s="1"/>
      <c r="CX2429" s="1"/>
      <c r="CY2429" s="1"/>
      <c r="CZ2429" s="1"/>
      <c r="DA2429" s="1"/>
      <c r="DB2429" s="1"/>
      <c r="DC2429" s="1"/>
      <c r="DD2429" s="1"/>
      <c r="DE2429" s="1"/>
      <c r="DF2429" s="1"/>
    </row>
    <row r="2430" spans="1:110" x14ac:dyDescent="0.4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  <c r="CV2430" s="1"/>
      <c r="CW2430" s="1"/>
      <c r="CX2430" s="1"/>
      <c r="CY2430" s="1"/>
      <c r="CZ2430" s="1"/>
      <c r="DA2430" s="1"/>
      <c r="DB2430" s="1"/>
      <c r="DC2430" s="1"/>
      <c r="DD2430" s="1"/>
      <c r="DE2430" s="1"/>
      <c r="DF2430" s="1"/>
    </row>
    <row r="2431" spans="1:110" x14ac:dyDescent="0.4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  <c r="CV2431" s="1"/>
      <c r="CW2431" s="1"/>
      <c r="CX2431" s="1"/>
      <c r="CY2431" s="1"/>
      <c r="CZ2431" s="1"/>
      <c r="DA2431" s="1"/>
      <c r="DB2431" s="1"/>
      <c r="DC2431" s="1"/>
      <c r="DD2431" s="1"/>
      <c r="DE2431" s="1"/>
      <c r="DF2431" s="1"/>
    </row>
    <row r="2432" spans="1:110" x14ac:dyDescent="0.4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  <c r="CV2432" s="1"/>
      <c r="CW2432" s="1"/>
      <c r="CX2432" s="1"/>
      <c r="CY2432" s="1"/>
      <c r="CZ2432" s="1"/>
      <c r="DA2432" s="1"/>
      <c r="DB2432" s="1"/>
      <c r="DC2432" s="1"/>
      <c r="DD2432" s="1"/>
      <c r="DE2432" s="1"/>
      <c r="DF2432" s="1"/>
    </row>
    <row r="2433" spans="1:110" x14ac:dyDescent="0.4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  <c r="CV2433" s="1"/>
      <c r="CW2433" s="1"/>
      <c r="CX2433" s="1"/>
      <c r="CY2433" s="1"/>
      <c r="CZ2433" s="1"/>
      <c r="DA2433" s="1"/>
      <c r="DB2433" s="1"/>
      <c r="DC2433" s="1"/>
      <c r="DD2433" s="1"/>
      <c r="DE2433" s="1"/>
      <c r="DF2433" s="1"/>
    </row>
    <row r="2434" spans="1:110" x14ac:dyDescent="0.4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  <c r="CV2434" s="1"/>
      <c r="CW2434" s="1"/>
      <c r="CX2434" s="1"/>
      <c r="CY2434" s="1"/>
      <c r="CZ2434" s="1"/>
      <c r="DA2434" s="1"/>
      <c r="DB2434" s="1"/>
      <c r="DC2434" s="1"/>
      <c r="DD2434" s="1"/>
      <c r="DE2434" s="1"/>
      <c r="DF2434" s="1"/>
    </row>
    <row r="2435" spans="1:110" x14ac:dyDescent="0.4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  <c r="CV2435" s="1"/>
      <c r="CW2435" s="1"/>
      <c r="CX2435" s="1"/>
      <c r="CY2435" s="1"/>
      <c r="CZ2435" s="1"/>
      <c r="DA2435" s="1"/>
      <c r="DB2435" s="1"/>
      <c r="DC2435" s="1"/>
      <c r="DD2435" s="1"/>
      <c r="DE2435" s="1"/>
      <c r="DF2435" s="1"/>
    </row>
    <row r="2436" spans="1:110" x14ac:dyDescent="0.4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  <c r="CV2436" s="1"/>
      <c r="CW2436" s="1"/>
      <c r="CX2436" s="1"/>
      <c r="CY2436" s="1"/>
      <c r="CZ2436" s="1"/>
      <c r="DA2436" s="1"/>
      <c r="DB2436" s="1"/>
      <c r="DC2436" s="1"/>
      <c r="DD2436" s="1"/>
      <c r="DE2436" s="1"/>
      <c r="DF2436" s="1"/>
    </row>
    <row r="2437" spans="1:110" x14ac:dyDescent="0.4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  <c r="CV2437" s="1"/>
      <c r="CW2437" s="1"/>
      <c r="CX2437" s="1"/>
      <c r="CY2437" s="1"/>
      <c r="CZ2437" s="1"/>
      <c r="DA2437" s="1"/>
      <c r="DB2437" s="1"/>
      <c r="DC2437" s="1"/>
      <c r="DD2437" s="1"/>
      <c r="DE2437" s="1"/>
      <c r="DF2437" s="1"/>
    </row>
    <row r="2438" spans="1:110" x14ac:dyDescent="0.4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  <c r="CV2438" s="1"/>
      <c r="CW2438" s="1"/>
      <c r="CX2438" s="1"/>
      <c r="CY2438" s="1"/>
      <c r="CZ2438" s="1"/>
      <c r="DA2438" s="1"/>
      <c r="DB2438" s="1"/>
      <c r="DC2438" s="1"/>
      <c r="DD2438" s="1"/>
      <c r="DE2438" s="1"/>
      <c r="DF2438" s="1"/>
    </row>
    <row r="2439" spans="1:110" x14ac:dyDescent="0.4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  <c r="CV2439" s="1"/>
      <c r="CW2439" s="1"/>
      <c r="CX2439" s="1"/>
      <c r="CY2439" s="1"/>
      <c r="CZ2439" s="1"/>
      <c r="DA2439" s="1"/>
      <c r="DB2439" s="1"/>
      <c r="DC2439" s="1"/>
      <c r="DD2439" s="1"/>
      <c r="DE2439" s="1"/>
      <c r="DF2439" s="1"/>
    </row>
    <row r="2440" spans="1:110" x14ac:dyDescent="0.4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  <c r="CV2440" s="1"/>
      <c r="CW2440" s="1"/>
      <c r="CX2440" s="1"/>
      <c r="CY2440" s="1"/>
      <c r="CZ2440" s="1"/>
      <c r="DA2440" s="1"/>
      <c r="DB2440" s="1"/>
      <c r="DC2440" s="1"/>
      <c r="DD2440" s="1"/>
      <c r="DE2440" s="1"/>
      <c r="DF2440" s="1"/>
    </row>
    <row r="2441" spans="1:110" x14ac:dyDescent="0.4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1"/>
      <c r="DA2441" s="1"/>
      <c r="DB2441" s="1"/>
      <c r="DC2441" s="1"/>
      <c r="DD2441" s="1"/>
      <c r="DE2441" s="1"/>
      <c r="DF2441" s="1"/>
    </row>
    <row r="2442" spans="1:110" x14ac:dyDescent="0.4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  <c r="CV2442" s="1"/>
      <c r="CW2442" s="1"/>
      <c r="CX2442" s="1"/>
      <c r="CY2442" s="1"/>
      <c r="CZ2442" s="1"/>
      <c r="DA2442" s="1"/>
      <c r="DB2442" s="1"/>
      <c r="DC2442" s="1"/>
      <c r="DD2442" s="1"/>
      <c r="DE2442" s="1"/>
      <c r="DF2442" s="1"/>
    </row>
    <row r="2443" spans="1:110" x14ac:dyDescent="0.4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  <c r="CV2443" s="1"/>
      <c r="CW2443" s="1"/>
      <c r="CX2443" s="1"/>
      <c r="CY2443" s="1"/>
      <c r="CZ2443" s="1"/>
      <c r="DA2443" s="1"/>
      <c r="DB2443" s="1"/>
      <c r="DC2443" s="1"/>
      <c r="DD2443" s="1"/>
      <c r="DE2443" s="1"/>
      <c r="DF2443" s="1"/>
    </row>
    <row r="2444" spans="1:110" x14ac:dyDescent="0.4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  <c r="CV2444" s="1"/>
      <c r="CW2444" s="1"/>
      <c r="CX2444" s="1"/>
      <c r="CY2444" s="1"/>
      <c r="CZ2444" s="1"/>
      <c r="DA2444" s="1"/>
      <c r="DB2444" s="1"/>
      <c r="DC2444" s="1"/>
      <c r="DD2444" s="1"/>
      <c r="DE2444" s="1"/>
      <c r="DF2444" s="1"/>
    </row>
    <row r="2445" spans="1:110" x14ac:dyDescent="0.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  <c r="CV2445" s="1"/>
      <c r="CW2445" s="1"/>
      <c r="CX2445" s="1"/>
      <c r="CY2445" s="1"/>
      <c r="CZ2445" s="1"/>
      <c r="DA2445" s="1"/>
      <c r="DB2445" s="1"/>
      <c r="DC2445" s="1"/>
      <c r="DD2445" s="1"/>
      <c r="DE2445" s="1"/>
      <c r="DF2445" s="1"/>
    </row>
    <row r="2446" spans="1:110" x14ac:dyDescent="0.4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  <c r="CV2446" s="1"/>
      <c r="CW2446" s="1"/>
      <c r="CX2446" s="1"/>
      <c r="CY2446" s="1"/>
      <c r="CZ2446" s="1"/>
      <c r="DA2446" s="1"/>
      <c r="DB2446" s="1"/>
      <c r="DC2446" s="1"/>
      <c r="DD2446" s="1"/>
      <c r="DE2446" s="1"/>
      <c r="DF2446" s="1"/>
    </row>
    <row r="2447" spans="1:110" x14ac:dyDescent="0.4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  <c r="CV2447" s="1"/>
      <c r="CW2447" s="1"/>
      <c r="CX2447" s="1"/>
      <c r="CY2447" s="1"/>
      <c r="CZ2447" s="1"/>
      <c r="DA2447" s="1"/>
      <c r="DB2447" s="1"/>
      <c r="DC2447" s="1"/>
      <c r="DD2447" s="1"/>
      <c r="DE2447" s="1"/>
      <c r="DF2447" s="1"/>
    </row>
    <row r="2448" spans="1:110" x14ac:dyDescent="0.4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  <c r="CV2448" s="1"/>
      <c r="CW2448" s="1"/>
      <c r="CX2448" s="1"/>
      <c r="CY2448" s="1"/>
      <c r="CZ2448" s="1"/>
      <c r="DA2448" s="1"/>
      <c r="DB2448" s="1"/>
      <c r="DC2448" s="1"/>
      <c r="DD2448" s="1"/>
      <c r="DE2448" s="1"/>
      <c r="DF2448" s="1"/>
    </row>
    <row r="2449" spans="1:110" x14ac:dyDescent="0.4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  <c r="CV2449" s="1"/>
      <c r="CW2449" s="1"/>
      <c r="CX2449" s="1"/>
      <c r="CY2449" s="1"/>
      <c r="CZ2449" s="1"/>
      <c r="DA2449" s="1"/>
      <c r="DB2449" s="1"/>
      <c r="DC2449" s="1"/>
      <c r="DD2449" s="1"/>
      <c r="DE2449" s="1"/>
      <c r="DF2449" s="1"/>
    </row>
    <row r="2450" spans="1:110" x14ac:dyDescent="0.4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  <c r="CV2450" s="1"/>
      <c r="CW2450" s="1"/>
      <c r="CX2450" s="1"/>
      <c r="CY2450" s="1"/>
      <c r="CZ2450" s="1"/>
      <c r="DA2450" s="1"/>
      <c r="DB2450" s="1"/>
      <c r="DC2450" s="1"/>
      <c r="DD2450" s="1"/>
      <c r="DE2450" s="1"/>
      <c r="DF2450" s="1"/>
    </row>
    <row r="2451" spans="1:110" x14ac:dyDescent="0.4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  <c r="CV2451" s="1"/>
      <c r="CW2451" s="1"/>
      <c r="CX2451" s="1"/>
      <c r="CY2451" s="1"/>
      <c r="CZ2451" s="1"/>
      <c r="DA2451" s="1"/>
      <c r="DB2451" s="1"/>
      <c r="DC2451" s="1"/>
      <c r="DD2451" s="1"/>
      <c r="DE2451" s="1"/>
      <c r="DF2451" s="1"/>
    </row>
    <row r="2452" spans="1:110" x14ac:dyDescent="0.4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  <c r="CV2452" s="1"/>
      <c r="CW2452" s="1"/>
      <c r="CX2452" s="1"/>
      <c r="CY2452" s="1"/>
      <c r="CZ2452" s="1"/>
      <c r="DA2452" s="1"/>
      <c r="DB2452" s="1"/>
      <c r="DC2452" s="1"/>
      <c r="DD2452" s="1"/>
      <c r="DE2452" s="1"/>
      <c r="DF2452" s="1"/>
    </row>
    <row r="2453" spans="1:110" x14ac:dyDescent="0.4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  <c r="CV2453" s="1"/>
      <c r="CW2453" s="1"/>
      <c r="CX2453" s="1"/>
      <c r="CY2453" s="1"/>
      <c r="CZ2453" s="1"/>
      <c r="DA2453" s="1"/>
      <c r="DB2453" s="1"/>
      <c r="DC2453" s="1"/>
      <c r="DD2453" s="1"/>
      <c r="DE2453" s="1"/>
      <c r="DF2453" s="1"/>
    </row>
    <row r="2454" spans="1:110" x14ac:dyDescent="0.4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  <c r="CV2454" s="1"/>
      <c r="CW2454" s="1"/>
      <c r="CX2454" s="1"/>
      <c r="CY2454" s="1"/>
      <c r="CZ2454" s="1"/>
      <c r="DA2454" s="1"/>
      <c r="DB2454" s="1"/>
      <c r="DC2454" s="1"/>
      <c r="DD2454" s="1"/>
      <c r="DE2454" s="1"/>
      <c r="DF2454" s="1"/>
    </row>
    <row r="2455" spans="1:110" x14ac:dyDescent="0.4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  <c r="CV2455" s="1"/>
      <c r="CW2455" s="1"/>
      <c r="CX2455" s="1"/>
      <c r="CY2455" s="1"/>
      <c r="CZ2455" s="1"/>
      <c r="DA2455" s="1"/>
      <c r="DB2455" s="1"/>
      <c r="DC2455" s="1"/>
      <c r="DD2455" s="1"/>
      <c r="DE2455" s="1"/>
      <c r="DF2455" s="1"/>
    </row>
    <row r="2456" spans="1:110" x14ac:dyDescent="0.4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  <c r="CV2456" s="1"/>
      <c r="CW2456" s="1"/>
      <c r="CX2456" s="1"/>
      <c r="CY2456" s="1"/>
      <c r="CZ2456" s="1"/>
      <c r="DA2456" s="1"/>
      <c r="DB2456" s="1"/>
      <c r="DC2456" s="1"/>
      <c r="DD2456" s="1"/>
      <c r="DE2456" s="1"/>
      <c r="DF2456" s="1"/>
    </row>
    <row r="2457" spans="1:110" x14ac:dyDescent="0.4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  <c r="DF2457" s="1"/>
    </row>
  </sheetData>
  <mergeCells count="12">
    <mergeCell ref="A110:O110"/>
    <mergeCell ref="A111:O111"/>
    <mergeCell ref="A112:O112"/>
    <mergeCell ref="A1:P1"/>
    <mergeCell ref="A2:P2"/>
    <mergeCell ref="A3:P3"/>
    <mergeCell ref="A4:P4"/>
    <mergeCell ref="A109:O109"/>
    <mergeCell ref="A58:P58"/>
    <mergeCell ref="A59:P59"/>
    <mergeCell ref="A60:P60"/>
    <mergeCell ref="A61:P61"/>
  </mergeCells>
  <pageMargins left="0.57999999999999996" right="0.5" top="0.37" bottom="0.33" header="0.3" footer="0.3"/>
  <pageSetup scale="78" orientation="landscape" r:id="rId1"/>
  <rowBreaks count="2" manualBreakCount="2">
    <brk id="56" max="16383" man="1"/>
    <brk id="107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4E2A-42B3-4282-AF50-25D79CD56725}">
  <dimension ref="A1:F12"/>
  <sheetViews>
    <sheetView workbookViewId="0">
      <selection activeCell="K6" sqref="K6"/>
    </sheetView>
  </sheetViews>
  <sheetFormatPr defaultRowHeight="14.25" x14ac:dyDescent="0.45"/>
  <cols>
    <col min="1" max="1" width="24.9296875" customWidth="1"/>
    <col min="2" max="2" width="16.06640625" customWidth="1"/>
    <col min="3" max="3" width="13.86328125" customWidth="1"/>
    <col min="4" max="4" width="23.19921875" customWidth="1"/>
    <col min="5" max="5" width="20.9296875" customWidth="1"/>
    <col min="6" max="6" width="27.53125" customWidth="1"/>
  </cols>
  <sheetData>
    <row r="1" spans="1:6" ht="28.5" x14ac:dyDescent="0.45">
      <c r="A1" s="25" t="s">
        <v>72</v>
      </c>
      <c r="B1" s="25" t="s">
        <v>73</v>
      </c>
      <c r="C1" s="25" t="s">
        <v>74</v>
      </c>
      <c r="D1" s="25" t="s">
        <v>75</v>
      </c>
      <c r="E1" s="25" t="s">
        <v>76</v>
      </c>
      <c r="F1" s="25" t="s">
        <v>77</v>
      </c>
    </row>
    <row r="2" spans="1:6" ht="28.5" x14ac:dyDescent="0.45">
      <c r="A2" s="26" t="s">
        <v>78</v>
      </c>
      <c r="B2" s="26" t="s">
        <v>79</v>
      </c>
      <c r="C2" s="26" t="s">
        <v>80</v>
      </c>
      <c r="D2" s="26" t="s">
        <v>111</v>
      </c>
      <c r="E2" s="26" t="s">
        <v>105</v>
      </c>
      <c r="F2" s="26" t="s">
        <v>81</v>
      </c>
    </row>
    <row r="3" spans="1:6" ht="28.5" x14ac:dyDescent="0.45">
      <c r="A3" s="26" t="s">
        <v>82</v>
      </c>
      <c r="B3" s="26" t="s">
        <v>83</v>
      </c>
      <c r="C3" s="26" t="s">
        <v>84</v>
      </c>
      <c r="D3" s="26" t="s">
        <v>111</v>
      </c>
      <c r="E3" s="26" t="s">
        <v>105</v>
      </c>
      <c r="F3" s="26" t="s">
        <v>85</v>
      </c>
    </row>
    <row r="4" spans="1:6" ht="28.5" x14ac:dyDescent="0.45">
      <c r="A4" s="26" t="s">
        <v>86</v>
      </c>
      <c r="B4" s="27">
        <v>0.97599999999999998</v>
      </c>
      <c r="C4" s="28">
        <v>0.98</v>
      </c>
      <c r="D4" s="26" t="s">
        <v>112</v>
      </c>
      <c r="E4" s="28">
        <v>0.96</v>
      </c>
      <c r="F4" s="26" t="s">
        <v>113</v>
      </c>
    </row>
    <row r="5" spans="1:6" ht="28.5" x14ac:dyDescent="0.45">
      <c r="A5" s="26" t="s">
        <v>87</v>
      </c>
      <c r="B5" s="27">
        <v>0.1956</v>
      </c>
      <c r="C5" s="26" t="s">
        <v>115</v>
      </c>
      <c r="D5" s="28" t="s">
        <v>116</v>
      </c>
      <c r="E5" s="28">
        <v>0.15</v>
      </c>
      <c r="F5" s="26" t="s">
        <v>114</v>
      </c>
    </row>
    <row r="6" spans="1:6" ht="42.75" x14ac:dyDescent="0.45">
      <c r="A6" s="26" t="s">
        <v>88</v>
      </c>
      <c r="B6" s="26" t="s">
        <v>89</v>
      </c>
      <c r="C6" s="27">
        <v>1.4999999999999999E-2</v>
      </c>
      <c r="D6" s="27">
        <v>1.4999999999999999E-2</v>
      </c>
      <c r="E6" s="27">
        <v>1.4999999999999999E-2</v>
      </c>
      <c r="F6" s="26" t="s">
        <v>90</v>
      </c>
    </row>
    <row r="7" spans="1:6" ht="42.75" x14ac:dyDescent="0.45">
      <c r="A7" s="26" t="s">
        <v>91</v>
      </c>
      <c r="B7" s="26" t="s">
        <v>92</v>
      </c>
      <c r="C7" s="27">
        <v>7.4999999999999997E-2</v>
      </c>
      <c r="D7" s="27">
        <v>7.4999999999999997E-2</v>
      </c>
      <c r="E7" s="27">
        <v>7.4999999999999997E-2</v>
      </c>
      <c r="F7" s="26" t="s">
        <v>93</v>
      </c>
    </row>
    <row r="8" spans="1:6" ht="42.75" x14ac:dyDescent="0.45">
      <c r="A8" s="26" t="s">
        <v>94</v>
      </c>
      <c r="B8" s="28">
        <v>0.2</v>
      </c>
      <c r="C8" s="28">
        <v>0.2</v>
      </c>
      <c r="D8" s="28">
        <v>0.2</v>
      </c>
      <c r="E8" s="28">
        <v>0.2</v>
      </c>
      <c r="F8" s="26" t="s">
        <v>95</v>
      </c>
    </row>
    <row r="9" spans="1:6" ht="28.5" x14ac:dyDescent="0.45">
      <c r="A9" s="26" t="s">
        <v>96</v>
      </c>
      <c r="B9" s="26" t="s">
        <v>117</v>
      </c>
      <c r="C9" s="26" t="s">
        <v>97</v>
      </c>
      <c r="D9" s="26" t="s">
        <v>98</v>
      </c>
      <c r="E9" s="26" t="s">
        <v>118</v>
      </c>
      <c r="F9" s="26" t="s">
        <v>119</v>
      </c>
    </row>
    <row r="10" spans="1:6" ht="28.5" x14ac:dyDescent="0.45">
      <c r="A10" s="26" t="s">
        <v>99</v>
      </c>
      <c r="B10" s="27">
        <v>0.26700000000000002</v>
      </c>
      <c r="C10" s="28">
        <v>0.25</v>
      </c>
      <c r="D10" s="28">
        <v>0.25</v>
      </c>
      <c r="E10" s="28">
        <v>0.25</v>
      </c>
      <c r="F10" s="26" t="s">
        <v>100</v>
      </c>
    </row>
    <row r="11" spans="1:6" ht="57" x14ac:dyDescent="0.45">
      <c r="A11" s="26" t="s">
        <v>101</v>
      </c>
      <c r="B11" s="26" t="s">
        <v>102</v>
      </c>
      <c r="C11" s="28">
        <v>0.12</v>
      </c>
      <c r="D11" s="27">
        <v>0.115</v>
      </c>
      <c r="E11" s="28">
        <v>0.11</v>
      </c>
      <c r="F11" s="26" t="s">
        <v>103</v>
      </c>
    </row>
    <row r="12" spans="1:6" ht="42.75" x14ac:dyDescent="0.45">
      <c r="A12" s="26" t="s">
        <v>51</v>
      </c>
      <c r="B12" s="28">
        <v>0.3</v>
      </c>
      <c r="C12" s="28">
        <v>0.25</v>
      </c>
      <c r="D12" s="28">
        <v>0.25</v>
      </c>
      <c r="E12" s="28">
        <v>0.25</v>
      </c>
      <c r="F12" s="26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C7D7-FE13-4E0A-9E75-3B37C6501B44}">
  <dimension ref="A1:C20"/>
  <sheetViews>
    <sheetView workbookViewId="0">
      <selection activeCell="A16" sqref="A16:B20"/>
    </sheetView>
  </sheetViews>
  <sheetFormatPr defaultRowHeight="14.25" x14ac:dyDescent="0.45"/>
  <cols>
    <col min="1" max="1" width="23.3984375" customWidth="1"/>
    <col min="2" max="2" width="17.1328125" customWidth="1"/>
  </cols>
  <sheetData>
    <row r="1" spans="1:3" x14ac:dyDescent="0.45">
      <c r="A1" t="s">
        <v>106</v>
      </c>
      <c r="B1" t="s">
        <v>107</v>
      </c>
      <c r="C1" s="18">
        <v>0.24</v>
      </c>
    </row>
    <row r="2" spans="1:3" x14ac:dyDescent="0.45">
      <c r="C2" s="18"/>
    </row>
    <row r="3" spans="1:3" x14ac:dyDescent="0.45">
      <c r="B3" t="s">
        <v>108</v>
      </c>
      <c r="C3" s="18"/>
    </row>
    <row r="4" spans="1:3" x14ac:dyDescent="0.45">
      <c r="A4" t="s">
        <v>109</v>
      </c>
      <c r="B4" s="29">
        <f>Valuation!F53</f>
        <v>1191.0880320795843</v>
      </c>
    </row>
    <row r="5" spans="1:3" x14ac:dyDescent="0.45">
      <c r="A5" s="18">
        <v>0.23</v>
      </c>
      <c r="B5" s="29">
        <f t="dataTable" ref="B5:B9" dt2D="0" dtr="0" r1="C1"/>
        <v>1155.8202580169398</v>
      </c>
    </row>
    <row r="6" spans="1:3" x14ac:dyDescent="0.45">
      <c r="A6" s="13">
        <v>0.23499999999999999</v>
      </c>
      <c r="B6" s="29">
        <v>1173.2351973563693</v>
      </c>
    </row>
    <row r="7" spans="1:3" x14ac:dyDescent="0.45">
      <c r="A7" s="18">
        <v>0.24</v>
      </c>
      <c r="B7" s="29">
        <v>1191.0880320795843</v>
      </c>
    </row>
    <row r="8" spans="1:3" x14ac:dyDescent="0.45">
      <c r="A8" s="13">
        <v>0.245</v>
      </c>
      <c r="B8" s="29">
        <v>1209.3881390645793</v>
      </c>
    </row>
    <row r="9" spans="1:3" x14ac:dyDescent="0.45">
      <c r="A9" s="18">
        <v>0.25</v>
      </c>
      <c r="B9" s="29">
        <v>1228.1450624514025</v>
      </c>
    </row>
    <row r="12" spans="1:3" x14ac:dyDescent="0.45">
      <c r="A12" t="s">
        <v>110</v>
      </c>
      <c r="B12" t="s">
        <v>107</v>
      </c>
      <c r="C12" s="18">
        <v>0.17</v>
      </c>
    </row>
    <row r="14" spans="1:3" x14ac:dyDescent="0.45">
      <c r="B14" t="s">
        <v>108</v>
      </c>
    </row>
    <row r="15" spans="1:3" x14ac:dyDescent="0.45">
      <c r="A15" t="s">
        <v>109</v>
      </c>
      <c r="B15" s="29">
        <f>Valuation!F53</f>
        <v>1191.0880320795843</v>
      </c>
    </row>
    <row r="16" spans="1:3" x14ac:dyDescent="0.45">
      <c r="A16" s="18">
        <v>0.16</v>
      </c>
      <c r="B16" s="29">
        <f t="dataTable" ref="B16:B20" dt2D="0" dtr="0" r1="C12" ca="1"/>
        <v>1165.5863518048263</v>
      </c>
    </row>
    <row r="17" spans="1:2" x14ac:dyDescent="0.45">
      <c r="A17" s="18">
        <v>0.17</v>
      </c>
      <c r="B17" s="29">
        <v>1191.0880320795843</v>
      </c>
    </row>
    <row r="18" spans="1:2" x14ac:dyDescent="0.45">
      <c r="A18" s="18">
        <v>0.18</v>
      </c>
      <c r="B18" s="29">
        <v>1217.8131143894004</v>
      </c>
    </row>
    <row r="19" spans="1:2" x14ac:dyDescent="0.45">
      <c r="A19" s="18">
        <v>0.19</v>
      </c>
      <c r="B19" s="29">
        <v>1245.813884746372</v>
      </c>
    </row>
    <row r="20" spans="1:2" x14ac:dyDescent="0.45">
      <c r="A20" s="18">
        <v>0.2</v>
      </c>
      <c r="B20" s="29">
        <v>1275.1445278159372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J3" sqref="J3:J4"/>
    </sheetView>
  </sheetViews>
  <sheetFormatPr defaultRowHeight="14.25" x14ac:dyDescent="0.45"/>
  <sheetData>
    <row r="1" spans="1:10" x14ac:dyDescent="0.45">
      <c r="A1" t="s">
        <v>64</v>
      </c>
    </row>
    <row r="2" spans="1:10" x14ac:dyDescent="0.45">
      <c r="A2" t="s">
        <v>65</v>
      </c>
      <c r="B2">
        <f>1881.73-(987.94- 8.85)+500</f>
        <v>1402.6399999999999</v>
      </c>
    </row>
    <row r="3" spans="1:10" x14ac:dyDescent="0.45">
      <c r="A3" t="s">
        <v>66</v>
      </c>
      <c r="B3">
        <f>1734.84-(818.68-9.4)+678</f>
        <v>1603.56</v>
      </c>
      <c r="D3" t="s">
        <v>68</v>
      </c>
      <c r="G3">
        <f>AVERAGE(B2:B3)</f>
        <v>1503.1</v>
      </c>
      <c r="I3" t="s">
        <v>51</v>
      </c>
      <c r="J3" s="13">
        <f>Valuation!D34/'ROIC Calculation'!G3</f>
        <v>0.29871598696028212</v>
      </c>
    </row>
    <row r="4" spans="1:10" x14ac:dyDescent="0.45">
      <c r="A4" t="s">
        <v>67</v>
      </c>
      <c r="B4">
        <f>2038.19-(1005.82-16.01)+971</f>
        <v>2019.38</v>
      </c>
      <c r="D4" t="s">
        <v>69</v>
      </c>
      <c r="G4">
        <f>AVERAGE(B3:B4)</f>
        <v>1811.47</v>
      </c>
      <c r="J4" s="13">
        <f>Valuation!E34/'ROIC Calculation'!G4</f>
        <v>0.30582896763402101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Valuation</vt:lpstr>
      <vt:lpstr>Sheet5</vt:lpstr>
      <vt:lpstr>Sensitivity Analysis</vt:lpstr>
      <vt:lpstr>ROIC Calculation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A. Vitek</dc:creator>
  <cp:lastModifiedBy>Anirudh Kodali</cp:lastModifiedBy>
  <cp:lastPrinted>2024-07-13T07:39:25Z</cp:lastPrinted>
  <dcterms:created xsi:type="dcterms:W3CDTF">2013-08-15T15:13:53Z</dcterms:created>
  <dcterms:modified xsi:type="dcterms:W3CDTF">2024-07-29T13:20:50Z</dcterms:modified>
</cp:coreProperties>
</file>