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a59be80a1f807/Documents/FIN 529 (AFA)/GroupProject/"/>
    </mc:Choice>
  </mc:AlternateContent>
  <xr:revisionPtr revIDLastSave="110" documentId="13_ncr:1_{595AC436-F477-4336-B61B-5B8B367C05B3}" xr6:coauthVersionLast="47" xr6:coauthVersionMax="47" xr10:uidLastSave="{07C6A62D-F6E8-4036-9099-3932424E5319}"/>
  <bookViews>
    <workbookView xWindow="-98" yWindow="-98" windowWidth="21795" windowHeight="12975" activeTab="1" xr2:uid="{B411B4A6-7A80-4899-9E17-E53CFFE938FB}"/>
  </bookViews>
  <sheets>
    <sheet name="DCF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23" i="1"/>
  <c r="B22" i="1"/>
  <c r="B75" i="1"/>
  <c r="B31" i="1"/>
  <c r="B17" i="2"/>
  <c r="B16" i="2"/>
  <c r="B15" i="2"/>
  <c r="B37" i="1"/>
  <c r="B6" i="2" l="1"/>
  <c r="B13" i="2"/>
  <c r="D13" i="2"/>
  <c r="D11" i="2"/>
  <c r="B11" i="2"/>
  <c r="D86" i="1"/>
  <c r="E86" i="1" s="1"/>
  <c r="F86" i="1" s="1"/>
  <c r="G86" i="1" s="1"/>
  <c r="H86" i="1" s="1"/>
  <c r="I86" i="1" s="1"/>
  <c r="J86" i="1" s="1"/>
  <c r="K86" i="1" s="1"/>
  <c r="L86" i="1" s="1"/>
  <c r="M86" i="1" s="1"/>
  <c r="F4" i="2"/>
  <c r="B81" i="1"/>
  <c r="C71" i="1"/>
  <c r="B74" i="1"/>
  <c r="C109" i="1"/>
  <c r="D95" i="1"/>
  <c r="E95" i="1"/>
  <c r="F95" i="1"/>
  <c r="G95" i="1"/>
  <c r="H95" i="1"/>
  <c r="I95" i="1"/>
  <c r="J95" i="1"/>
  <c r="K95" i="1"/>
  <c r="L95" i="1"/>
  <c r="C95" i="1"/>
  <c r="D94" i="1"/>
  <c r="E94" i="1"/>
  <c r="F94" i="1"/>
  <c r="G94" i="1"/>
  <c r="H94" i="1"/>
  <c r="I94" i="1"/>
  <c r="J94" i="1"/>
  <c r="K94" i="1"/>
  <c r="L94" i="1"/>
  <c r="C94" i="1"/>
  <c r="C73" i="1"/>
  <c r="B106" i="1"/>
  <c r="B72" i="1"/>
  <c r="B85" i="1" l="1"/>
  <c r="M32" i="1" s="1"/>
  <c r="D32" i="1" l="1"/>
  <c r="C32" i="1"/>
  <c r="E32" i="1"/>
  <c r="F32" i="1"/>
  <c r="I32" i="1"/>
  <c r="G32" i="1"/>
  <c r="H32" i="1"/>
  <c r="J32" i="1"/>
  <c r="L32" i="1"/>
  <c r="K32" i="1"/>
  <c r="B25" i="1" l="1"/>
  <c r="B29" i="1"/>
  <c r="C106" i="1" l="1"/>
  <c r="E73" i="1"/>
  <c r="F73" i="1"/>
  <c r="G73" i="1"/>
  <c r="H73" i="1"/>
  <c r="I73" i="1"/>
  <c r="J73" i="1"/>
  <c r="K73" i="1"/>
  <c r="L73" i="1"/>
  <c r="D73" i="1"/>
  <c r="D28" i="1" s="1"/>
  <c r="C60" i="1"/>
  <c r="B53" i="1"/>
  <c r="D55" i="1"/>
  <c r="E55" i="1"/>
  <c r="F55" i="1"/>
  <c r="G55" i="1"/>
  <c r="H55" i="1"/>
  <c r="I55" i="1"/>
  <c r="J55" i="1"/>
  <c r="K55" i="1"/>
  <c r="L55" i="1"/>
  <c r="B64" i="1"/>
  <c r="D60" i="1"/>
  <c r="E60" i="1"/>
  <c r="F60" i="1"/>
  <c r="G60" i="1"/>
  <c r="H60" i="1"/>
  <c r="I60" i="1"/>
  <c r="J60" i="1"/>
  <c r="K60" i="1"/>
  <c r="L60" i="1"/>
  <c r="L96" i="1" l="1"/>
  <c r="G96" i="1"/>
  <c r="I96" i="1"/>
  <c r="E28" i="1"/>
  <c r="E96" i="1"/>
  <c r="H96" i="1"/>
  <c r="D96" i="1"/>
  <c r="D106" i="1" s="1"/>
  <c r="D109" i="1" s="1"/>
  <c r="J96" i="1"/>
  <c r="K96" i="1"/>
  <c r="F96" i="1"/>
  <c r="C27" i="1"/>
  <c r="E97" i="1" l="1"/>
  <c r="E106" i="1" s="1"/>
  <c r="E109" i="1" s="1"/>
  <c r="F97" i="1"/>
  <c r="G97" i="1"/>
  <c r="H97" i="1"/>
  <c r="I97" i="1"/>
  <c r="J97" i="1"/>
  <c r="K97" i="1"/>
  <c r="L97" i="1"/>
  <c r="F28" i="1"/>
  <c r="D27" i="1"/>
  <c r="D71" i="1" s="1"/>
  <c r="J98" i="1" l="1"/>
  <c r="G98" i="1"/>
  <c r="L98" i="1"/>
  <c r="F98" i="1"/>
  <c r="F106" i="1" s="1"/>
  <c r="F109" i="1" s="1"/>
  <c r="K98" i="1"/>
  <c r="G28" i="1"/>
  <c r="I98" i="1"/>
  <c r="H98" i="1"/>
  <c r="E27" i="1"/>
  <c r="E71" i="1" s="1"/>
  <c r="G99" i="1" l="1"/>
  <c r="G106" i="1" s="1"/>
  <c r="G109" i="1" s="1"/>
  <c r="J99" i="1"/>
  <c r="H28" i="1"/>
  <c r="H99" i="1"/>
  <c r="K99" i="1"/>
  <c r="I99" i="1"/>
  <c r="L99" i="1"/>
  <c r="F27" i="1"/>
  <c r="F71" i="1" s="1"/>
  <c r="K100" i="1" l="1"/>
  <c r="L100" i="1"/>
  <c r="I28" i="1"/>
  <c r="H100" i="1"/>
  <c r="H106" i="1" s="1"/>
  <c r="H109" i="1" s="1"/>
  <c r="J100" i="1"/>
  <c r="I100" i="1"/>
  <c r="G27" i="1"/>
  <c r="G71" i="1" s="1"/>
  <c r="K101" i="1" l="1"/>
  <c r="J28" i="1"/>
  <c r="L101" i="1"/>
  <c r="J101" i="1"/>
  <c r="I101" i="1"/>
  <c r="I106" i="1" s="1"/>
  <c r="I109" i="1" s="1"/>
  <c r="H27" i="1"/>
  <c r="H71" i="1" s="1"/>
  <c r="K102" i="1" l="1"/>
  <c r="J102" i="1"/>
  <c r="J106" i="1" s="1"/>
  <c r="J109" i="1" s="1"/>
  <c r="K28" i="1"/>
  <c r="L102" i="1"/>
  <c r="I27" i="1"/>
  <c r="I71" i="1" s="1"/>
  <c r="K103" i="1" l="1"/>
  <c r="K106" i="1" s="1"/>
  <c r="K109" i="1" s="1"/>
  <c r="L28" i="1"/>
  <c r="L104" i="1" s="1"/>
  <c r="L103" i="1"/>
  <c r="J27" i="1"/>
  <c r="J71" i="1" s="1"/>
  <c r="L106" i="1" l="1"/>
  <c r="K27" i="1"/>
  <c r="K71" i="1" s="1"/>
  <c r="L109" i="1" l="1"/>
  <c r="L27" i="1" s="1"/>
  <c r="C55" i="1"/>
  <c r="L71" i="1" l="1"/>
  <c r="C8" i="1"/>
  <c r="B66" i="1"/>
  <c r="B60" i="1"/>
  <c r="C29" i="1" l="1"/>
  <c r="C64" i="1"/>
  <c r="D8" i="1"/>
  <c r="C74" i="1"/>
  <c r="C72" i="1"/>
  <c r="C14" i="1"/>
  <c r="C16" i="1" s="1"/>
  <c r="C9" i="1"/>
  <c r="C11" i="1" s="1"/>
  <c r="B58" i="1"/>
  <c r="B16" i="1"/>
  <c r="B11" i="1"/>
  <c r="B55" i="1" s="1"/>
  <c r="C18" i="1" l="1"/>
  <c r="C22" i="1" s="1"/>
  <c r="D72" i="1"/>
  <c r="D29" i="1"/>
  <c r="E8" i="1"/>
  <c r="E72" i="1" s="1"/>
  <c r="D9" i="1"/>
  <c r="D11" i="1" s="1"/>
  <c r="D14" i="1"/>
  <c r="D16" i="1" s="1"/>
  <c r="D64" i="1"/>
  <c r="D74" i="1"/>
  <c r="B34" i="1"/>
  <c r="B69" i="1"/>
  <c r="B18" i="1"/>
  <c r="B62" i="1" s="1"/>
  <c r="C62" i="1" l="1"/>
  <c r="E29" i="1"/>
  <c r="C23" i="1"/>
  <c r="C25" i="1" s="1"/>
  <c r="C66" i="1"/>
  <c r="D18" i="1"/>
  <c r="E14" i="1"/>
  <c r="E16" i="1" s="1"/>
  <c r="F8" i="1"/>
  <c r="E64" i="1"/>
  <c r="E9" i="1"/>
  <c r="E11" i="1" s="1"/>
  <c r="E18" i="1" s="1"/>
  <c r="E74" i="1"/>
  <c r="C31" i="1" l="1"/>
  <c r="C34" i="1" s="1"/>
  <c r="C69" i="1"/>
  <c r="F72" i="1"/>
  <c r="F29" i="1"/>
  <c r="E62" i="1"/>
  <c r="E22" i="1"/>
  <c r="F64" i="1"/>
  <c r="F9" i="1"/>
  <c r="F11" i="1" s="1"/>
  <c r="F14" i="1"/>
  <c r="F16" i="1" s="1"/>
  <c r="G8" i="1"/>
  <c r="G72" i="1" s="1"/>
  <c r="F74" i="1"/>
  <c r="D22" i="1"/>
  <c r="D62" i="1"/>
  <c r="G29" i="1" l="1"/>
  <c r="E23" i="1"/>
  <c r="E25" i="1" s="1"/>
  <c r="E66" i="1"/>
  <c r="G14" i="1"/>
  <c r="G16" i="1" s="1"/>
  <c r="G64" i="1"/>
  <c r="H8" i="1"/>
  <c r="G9" i="1"/>
  <c r="G11" i="1" s="1"/>
  <c r="G74" i="1"/>
  <c r="F18" i="1"/>
  <c r="D66" i="1"/>
  <c r="D23" i="1"/>
  <c r="D25" i="1" s="1"/>
  <c r="G18" i="1" l="1"/>
  <c r="G62" i="1" s="1"/>
  <c r="H72" i="1"/>
  <c r="H29" i="1"/>
  <c r="E31" i="1"/>
  <c r="E34" i="1" s="1"/>
  <c r="E69" i="1"/>
  <c r="D31" i="1"/>
  <c r="D34" i="1" s="1"/>
  <c r="D69" i="1"/>
  <c r="H64" i="1"/>
  <c r="H9" i="1"/>
  <c r="H11" i="1" s="1"/>
  <c r="I8" i="1"/>
  <c r="I29" i="1" s="1"/>
  <c r="H14" i="1"/>
  <c r="H16" i="1" s="1"/>
  <c r="H74" i="1"/>
  <c r="F62" i="1"/>
  <c r="F22" i="1"/>
  <c r="G22" i="1" l="1"/>
  <c r="G23" i="1" s="1"/>
  <c r="G25" i="1" s="1"/>
  <c r="I72" i="1"/>
  <c r="I64" i="1"/>
  <c r="I14" i="1"/>
  <c r="I16" i="1" s="1"/>
  <c r="J8" i="1"/>
  <c r="I9" i="1"/>
  <c r="I11" i="1" s="1"/>
  <c r="I74" i="1"/>
  <c r="F23" i="1"/>
  <c r="F25" i="1" s="1"/>
  <c r="F66" i="1"/>
  <c r="H18" i="1"/>
  <c r="G66" i="1" l="1"/>
  <c r="J72" i="1"/>
  <c r="J29" i="1"/>
  <c r="F31" i="1"/>
  <c r="F34" i="1" s="1"/>
  <c r="F69" i="1"/>
  <c r="G31" i="1"/>
  <c r="G34" i="1" s="1"/>
  <c r="G69" i="1"/>
  <c r="I18" i="1"/>
  <c r="I62" i="1" s="1"/>
  <c r="H62" i="1"/>
  <c r="H22" i="1"/>
  <c r="J64" i="1"/>
  <c r="K8" i="1"/>
  <c r="J14" i="1"/>
  <c r="J16" i="1" s="1"/>
  <c r="J9" i="1"/>
  <c r="J11" i="1" s="1"/>
  <c r="J74" i="1"/>
  <c r="K72" i="1" l="1"/>
  <c r="K29" i="1"/>
  <c r="J18" i="1"/>
  <c r="J62" i="1" s="1"/>
  <c r="I22" i="1"/>
  <c r="I23" i="1" s="1"/>
  <c r="I25" i="1" s="1"/>
  <c r="K14" i="1"/>
  <c r="K16" i="1" s="1"/>
  <c r="L8" i="1"/>
  <c r="L29" i="1" s="1"/>
  <c r="K9" i="1"/>
  <c r="K11" i="1" s="1"/>
  <c r="K64" i="1"/>
  <c r="K74" i="1"/>
  <c r="H66" i="1"/>
  <c r="H23" i="1"/>
  <c r="H25" i="1" s="1"/>
  <c r="J22" i="1" l="1"/>
  <c r="J66" i="1" s="1"/>
  <c r="H31" i="1"/>
  <c r="H34" i="1" s="1"/>
  <c r="H69" i="1"/>
  <c r="I66" i="1"/>
  <c r="I31" i="1"/>
  <c r="I34" i="1" s="1"/>
  <c r="I69" i="1"/>
  <c r="L64" i="1"/>
  <c r="L14" i="1"/>
  <c r="L16" i="1" s="1"/>
  <c r="L9" i="1"/>
  <c r="L11" i="1" s="1"/>
  <c r="L74" i="1"/>
  <c r="L72" i="1"/>
  <c r="K18" i="1"/>
  <c r="J23" i="1" l="1"/>
  <c r="J25" i="1" s="1"/>
  <c r="J31" i="1" s="1"/>
  <c r="J34" i="1" s="1"/>
  <c r="L18" i="1"/>
  <c r="K62" i="1"/>
  <c r="K22" i="1"/>
  <c r="J69" i="1" l="1"/>
  <c r="K66" i="1"/>
  <c r="K23" i="1"/>
  <c r="K25" i="1" s="1"/>
  <c r="L62" i="1"/>
  <c r="L22" i="1"/>
  <c r="K31" i="1" l="1"/>
  <c r="K34" i="1" s="1"/>
  <c r="K69" i="1"/>
  <c r="L23" i="1"/>
  <c r="L25" i="1" s="1"/>
  <c r="L66" i="1"/>
  <c r="L31" i="1" l="1"/>
  <c r="L69" i="1"/>
  <c r="L34" i="1" l="1"/>
  <c r="M31" i="1"/>
  <c r="M34" i="1" s="1"/>
  <c r="B36" i="1"/>
  <c r="B40" i="1" s="1"/>
  <c r="B43" i="1" s="1"/>
  <c r="F43" i="1" s="1"/>
  <c r="G36" i="1" l="1"/>
</calcChain>
</file>

<file path=xl/sharedStrings.xml><?xml version="1.0" encoding="utf-8"?>
<sst xmlns="http://schemas.openxmlformats.org/spreadsheetml/2006/main" count="94" uniqueCount="80">
  <si>
    <t>Crocs, Inc.</t>
  </si>
  <si>
    <t>Discounted Cash Flow Analysis</t>
  </si>
  <si>
    <t>For the Years Ended December 31</t>
  </si>
  <si>
    <t>Millions of Dollars</t>
  </si>
  <si>
    <t>Revenue</t>
  </si>
  <si>
    <t>Cost of Revenue</t>
  </si>
  <si>
    <t>Gross Profit</t>
  </si>
  <si>
    <t>Operating Expenses:</t>
  </si>
  <si>
    <t>Selling, General &amp; Admin.</t>
  </si>
  <si>
    <t>Total Operating Expense</t>
  </si>
  <si>
    <t>Operating Income</t>
  </si>
  <si>
    <t>Other Income/Expense</t>
  </si>
  <si>
    <t>Pretax Income</t>
  </si>
  <si>
    <t>Income Tax</t>
  </si>
  <si>
    <t>Net Income</t>
  </si>
  <si>
    <t>Free Cash Flow</t>
  </si>
  <si>
    <t>Present Value Factor</t>
  </si>
  <si>
    <t>PV Free Cash Flow</t>
  </si>
  <si>
    <t>Value of Firm</t>
  </si>
  <si>
    <t>Debt Outstanding</t>
  </si>
  <si>
    <t>Cash</t>
  </si>
  <si>
    <t>Equity Value</t>
  </si>
  <si>
    <t>Number of Shares</t>
  </si>
  <si>
    <t>Value per Share</t>
  </si>
  <si>
    <t>Terminal Value</t>
  </si>
  <si>
    <t>Assumptions</t>
  </si>
  <si>
    <t>Revenue Growth</t>
  </si>
  <si>
    <t>Cost of Sales</t>
  </si>
  <si>
    <t>Selling, General &amp; Administrative</t>
  </si>
  <si>
    <t>Net PP&amp;E</t>
  </si>
  <si>
    <t>Revenue/Net PP&amp;E</t>
  </si>
  <si>
    <t>Capital Expenditure Growth</t>
  </si>
  <si>
    <t>Depreciation/Revenue</t>
  </si>
  <si>
    <t>Working Capital/Revenue</t>
  </si>
  <si>
    <t>Discount Rate:</t>
  </si>
  <si>
    <t>Risk-Free Rate</t>
  </si>
  <si>
    <t>Risk Premium</t>
  </si>
  <si>
    <t>Beta</t>
  </si>
  <si>
    <t>K(e)</t>
  </si>
  <si>
    <t>K(d)</t>
  </si>
  <si>
    <t>Tax Rate</t>
  </si>
  <si>
    <t>Debt/Capital</t>
  </si>
  <si>
    <t>WACC</t>
  </si>
  <si>
    <t>Income Tax Rate</t>
  </si>
  <si>
    <t>Depreciation Schedule</t>
  </si>
  <si>
    <t>2023 Net PPE</t>
  </si>
  <si>
    <t>2024 Capital Expenditures</t>
  </si>
  <si>
    <t>2025 Capital Expenditures</t>
  </si>
  <si>
    <t>2026 Capital Expenditures</t>
  </si>
  <si>
    <t>2027 Capital Expenditures</t>
  </si>
  <si>
    <t>2028 Capital Expenditures</t>
  </si>
  <si>
    <t>2029 Capital Expenditures</t>
  </si>
  <si>
    <t>2030 Capital Expenditures</t>
  </si>
  <si>
    <t>2031 Capital Expenditures</t>
  </si>
  <si>
    <t>2032 Capital Expenditures</t>
  </si>
  <si>
    <t>2033 Capital Expenditures</t>
  </si>
  <si>
    <t>Total Depreciation Expense</t>
  </si>
  <si>
    <t>Intangible Ammortization</t>
  </si>
  <si>
    <t>Total Depreciation and Ammortization</t>
  </si>
  <si>
    <t>Add: Depreciation</t>
  </si>
  <si>
    <t>Minus: Capital Expenditures</t>
  </si>
  <si>
    <t>Minus: Working Capital</t>
  </si>
  <si>
    <t>Long-term Debt</t>
  </si>
  <si>
    <t>Short-term Debt</t>
  </si>
  <si>
    <t>Total Debt</t>
  </si>
  <si>
    <t>Share Price</t>
  </si>
  <si>
    <t>No. of Shares</t>
  </si>
  <si>
    <t>Current Assets</t>
  </si>
  <si>
    <t>Current Liabilities</t>
  </si>
  <si>
    <t>Long term Assets</t>
  </si>
  <si>
    <t>Invested Capital</t>
  </si>
  <si>
    <t>ROIC</t>
  </si>
  <si>
    <t>Total Equity</t>
  </si>
  <si>
    <t>Debt to Capital</t>
  </si>
  <si>
    <t>Avg Invested Capital</t>
  </si>
  <si>
    <t>Terminal Value/Value of Firm</t>
  </si>
  <si>
    <t>Revenue Turnover</t>
  </si>
  <si>
    <t>Profit Margin</t>
  </si>
  <si>
    <t>Premium</t>
  </si>
  <si>
    <t>Share Value as of 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</si>
</sst>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4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66" fontId="0" fillId="0" borderId="0" xfId="0" applyNumberFormat="1"/>
    <xf numFmtId="9" fontId="2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4" fontId="2" fillId="0" borderId="0" xfId="0" applyNumberFormat="1" applyFont="1"/>
    <xf numFmtId="4" fontId="2" fillId="0" borderId="0" xfId="2" applyNumberFormat="1" applyFont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47D6-7666-4CD3-A19B-870A9DC1A181}">
  <sheetPr codeName="Sheet1"/>
  <dimension ref="A1:Q109"/>
  <sheetViews>
    <sheetView topLeftCell="A25" zoomScaleNormal="100" workbookViewId="0">
      <selection activeCell="N50" sqref="N50"/>
    </sheetView>
  </sheetViews>
  <sheetFormatPr defaultRowHeight="14.25" x14ac:dyDescent="0.45"/>
  <cols>
    <col min="1" max="1" width="32.59765625" customWidth="1"/>
    <col min="2" max="2" width="12.53125" bestFit="1" customWidth="1"/>
    <col min="3" max="3" width="11.46484375" bestFit="1" customWidth="1"/>
    <col min="4" max="4" width="13.59765625" customWidth="1"/>
    <col min="5" max="12" width="13.46484375" bestFit="1" customWidth="1"/>
    <col min="13" max="13" width="13.53125" customWidth="1"/>
  </cols>
  <sheetData>
    <row r="1" spans="1:17" x14ac:dyDescent="0.4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4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4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45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6" spans="1:17" ht="14.65" thickBot="1" x14ac:dyDescent="0.5">
      <c r="A6" s="1"/>
      <c r="B6" s="5">
        <v>2023</v>
      </c>
      <c r="C6" s="6">
        <v>2024</v>
      </c>
      <c r="D6" s="6">
        <v>2025</v>
      </c>
      <c r="E6" s="6">
        <v>2026</v>
      </c>
      <c r="F6" s="6">
        <v>2027</v>
      </c>
      <c r="G6" s="6">
        <v>2028</v>
      </c>
      <c r="H6" s="6">
        <v>2029</v>
      </c>
      <c r="I6" s="6">
        <v>2030</v>
      </c>
      <c r="J6" s="6">
        <v>2031</v>
      </c>
      <c r="K6" s="6">
        <v>2032</v>
      </c>
      <c r="L6" s="6">
        <v>2033</v>
      </c>
      <c r="M6" t="s">
        <v>24</v>
      </c>
    </row>
    <row r="7" spans="1:17" x14ac:dyDescent="0.45">
      <c r="A7" s="1"/>
      <c r="B7" s="1"/>
    </row>
    <row r="8" spans="1:17" x14ac:dyDescent="0.45">
      <c r="A8" s="1" t="s">
        <v>4</v>
      </c>
      <c r="B8" s="14">
        <v>3962.35</v>
      </c>
      <c r="C8" s="14">
        <f>B8*(1+C52)</f>
        <v>4120.8440000000001</v>
      </c>
      <c r="D8" s="14">
        <f t="shared" ref="D8:L8" si="0">C8*(1+D52)</f>
        <v>4285.6777600000005</v>
      </c>
      <c r="E8" s="14">
        <f t="shared" si="0"/>
        <v>4457.1048704000004</v>
      </c>
      <c r="F8" s="14">
        <f t="shared" si="0"/>
        <v>4635.3890652160007</v>
      </c>
      <c r="G8" s="14">
        <f t="shared" si="0"/>
        <v>4820.8046278246411</v>
      </c>
      <c r="H8" s="14">
        <f t="shared" si="0"/>
        <v>5013.6368129376269</v>
      </c>
      <c r="I8" s="14">
        <f t="shared" si="0"/>
        <v>5214.1822854551319</v>
      </c>
      <c r="J8" s="14">
        <f t="shared" si="0"/>
        <v>5422.749576873337</v>
      </c>
      <c r="K8" s="14">
        <f t="shared" si="0"/>
        <v>5639.6595599482707</v>
      </c>
      <c r="L8" s="14">
        <f t="shared" si="0"/>
        <v>5865.2459423462014</v>
      </c>
    </row>
    <row r="9" spans="1:17" x14ac:dyDescent="0.45">
      <c r="A9" s="1" t="s">
        <v>5</v>
      </c>
      <c r="B9" s="14">
        <v>1752.34</v>
      </c>
      <c r="C9" s="14">
        <f>C8*C53</f>
        <v>1813.17136</v>
      </c>
      <c r="D9" s="14">
        <f t="shared" ref="D9:L9" si="1">D8*D53</f>
        <v>1885.6982144000003</v>
      </c>
      <c r="E9" s="14">
        <f t="shared" si="1"/>
        <v>1961.1261429760002</v>
      </c>
      <c r="F9" s="14">
        <f t="shared" si="1"/>
        <v>2039.5711886950403</v>
      </c>
      <c r="G9" s="14">
        <f t="shared" si="1"/>
        <v>2121.1540362428423</v>
      </c>
      <c r="H9" s="14">
        <f t="shared" si="1"/>
        <v>2206.000197692556</v>
      </c>
      <c r="I9" s="14">
        <f t="shared" si="1"/>
        <v>2294.2402056002579</v>
      </c>
      <c r="J9" s="14">
        <f t="shared" si="1"/>
        <v>2386.0098138242683</v>
      </c>
      <c r="K9" s="14">
        <f t="shared" si="1"/>
        <v>2481.4502063772393</v>
      </c>
      <c r="L9" s="14">
        <f t="shared" si="1"/>
        <v>2551.3819849205975</v>
      </c>
    </row>
    <row r="10" spans="1:17" x14ac:dyDescent="0.45">
      <c r="A10" s="1"/>
      <c r="B10" s="1"/>
    </row>
    <row r="11" spans="1:17" x14ac:dyDescent="0.45">
      <c r="A11" s="1" t="s">
        <v>6</v>
      </c>
      <c r="B11" s="25">
        <f>B8-B9</f>
        <v>2210.0100000000002</v>
      </c>
      <c r="C11" s="26">
        <f>C8-C9</f>
        <v>2307.6726399999998</v>
      </c>
      <c r="D11" s="25">
        <f>D8-D9</f>
        <v>2399.9795456000002</v>
      </c>
      <c r="E11" s="25">
        <f t="shared" ref="E11:L11" si="2">E8-E9</f>
        <v>2495.9787274240002</v>
      </c>
      <c r="F11" s="25">
        <f t="shared" si="2"/>
        <v>2595.8178765209605</v>
      </c>
      <c r="G11" s="25">
        <f t="shared" si="2"/>
        <v>2699.6505915817988</v>
      </c>
      <c r="H11" s="25">
        <f t="shared" si="2"/>
        <v>2807.636615245071</v>
      </c>
      <c r="I11" s="25">
        <f t="shared" si="2"/>
        <v>2919.942079854874</v>
      </c>
      <c r="J11" s="25">
        <f t="shared" si="2"/>
        <v>3036.7397630490686</v>
      </c>
      <c r="K11" s="25">
        <f t="shared" si="2"/>
        <v>3158.2093535710314</v>
      </c>
      <c r="L11" s="25">
        <f t="shared" si="2"/>
        <v>3313.863957425604</v>
      </c>
    </row>
    <row r="13" spans="1:17" x14ac:dyDescent="0.45">
      <c r="A13" s="1" t="s">
        <v>7</v>
      </c>
    </row>
    <row r="14" spans="1:17" x14ac:dyDescent="0.45">
      <c r="A14" s="1" t="s">
        <v>8</v>
      </c>
      <c r="B14" s="24">
        <v>1138.83</v>
      </c>
      <c r="C14" s="24">
        <f>C8*C58</f>
        <v>1277.46164</v>
      </c>
      <c r="D14" s="24">
        <f t="shared" ref="D14:L14" si="3">D8*D58</f>
        <v>1349.9884944000003</v>
      </c>
      <c r="E14" s="24">
        <f t="shared" si="3"/>
        <v>1426.2735585280002</v>
      </c>
      <c r="F14" s="24">
        <f t="shared" si="3"/>
        <v>1506.5014461952003</v>
      </c>
      <c r="G14" s="24">
        <f t="shared" si="3"/>
        <v>1590.8655271821317</v>
      </c>
      <c r="H14" s="24">
        <f t="shared" si="3"/>
        <v>1654.500148269417</v>
      </c>
      <c r="I14" s="24">
        <f t="shared" si="3"/>
        <v>1720.6801542001936</v>
      </c>
      <c r="J14" s="24">
        <f t="shared" si="3"/>
        <v>1789.5073603682013</v>
      </c>
      <c r="K14" s="24">
        <f t="shared" si="3"/>
        <v>1861.0876547829293</v>
      </c>
      <c r="L14" s="24">
        <f t="shared" si="3"/>
        <v>1935.5311609742466</v>
      </c>
    </row>
    <row r="16" spans="1:17" x14ac:dyDescent="0.45">
      <c r="A16" s="1" t="s">
        <v>9</v>
      </c>
      <c r="B16" s="24">
        <f>B14</f>
        <v>1138.83</v>
      </c>
      <c r="C16" s="24">
        <f>C14</f>
        <v>1277.46164</v>
      </c>
      <c r="D16" s="24">
        <f t="shared" ref="D16:L16" si="4">D14</f>
        <v>1349.9884944000003</v>
      </c>
      <c r="E16" s="24">
        <f t="shared" si="4"/>
        <v>1426.2735585280002</v>
      </c>
      <c r="F16" s="24">
        <f t="shared" si="4"/>
        <v>1506.5014461952003</v>
      </c>
      <c r="G16" s="24">
        <f t="shared" si="4"/>
        <v>1590.8655271821317</v>
      </c>
      <c r="H16" s="24">
        <f t="shared" si="4"/>
        <v>1654.500148269417</v>
      </c>
      <c r="I16" s="24">
        <f t="shared" si="4"/>
        <v>1720.6801542001936</v>
      </c>
      <c r="J16" s="24">
        <f t="shared" si="4"/>
        <v>1789.5073603682013</v>
      </c>
      <c r="K16" s="24">
        <f t="shared" si="4"/>
        <v>1861.0876547829293</v>
      </c>
      <c r="L16" s="24">
        <f t="shared" si="4"/>
        <v>1935.5311609742466</v>
      </c>
    </row>
    <row r="18" spans="1:13" x14ac:dyDescent="0.45">
      <c r="A18" s="1" t="s">
        <v>10</v>
      </c>
      <c r="B18" s="24">
        <f>B11-B16</f>
        <v>1071.1800000000003</v>
      </c>
      <c r="C18" s="24">
        <f>C11-C16</f>
        <v>1030.2109999999998</v>
      </c>
      <c r="D18" s="24">
        <f>D11-D16</f>
        <v>1049.9910511999999</v>
      </c>
      <c r="E18" s="24">
        <f t="shared" ref="E18:L18" si="5">E11-E16</f>
        <v>1069.705168896</v>
      </c>
      <c r="F18" s="24">
        <f t="shared" si="5"/>
        <v>1089.3164303257602</v>
      </c>
      <c r="G18" s="24">
        <f t="shared" si="5"/>
        <v>1108.7850643996671</v>
      </c>
      <c r="H18" s="24">
        <f t="shared" si="5"/>
        <v>1153.136466975654</v>
      </c>
      <c r="I18" s="24">
        <f t="shared" si="5"/>
        <v>1199.2619256546805</v>
      </c>
      <c r="J18" s="24">
        <f t="shared" si="5"/>
        <v>1247.2324026808674</v>
      </c>
      <c r="K18" s="24">
        <f t="shared" si="5"/>
        <v>1297.1216987881021</v>
      </c>
      <c r="L18" s="24">
        <f t="shared" si="5"/>
        <v>1378.3327964513574</v>
      </c>
    </row>
    <row r="20" spans="1:13" x14ac:dyDescent="0.45">
      <c r="A20" t="s">
        <v>11</v>
      </c>
      <c r="B20">
        <v>-0.33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2" spans="1:13" x14ac:dyDescent="0.45">
      <c r="A22" t="s">
        <v>12</v>
      </c>
      <c r="B22" s="24">
        <f>B18+B20</f>
        <v>1070.8500000000004</v>
      </c>
      <c r="C22" s="24">
        <f>C18-C20</f>
        <v>1030.2109999999998</v>
      </c>
      <c r="D22" s="24">
        <f t="shared" ref="D22:L22" si="6">D18-D20</f>
        <v>1049.9910511999999</v>
      </c>
      <c r="E22" s="24">
        <f t="shared" si="6"/>
        <v>1069.705168896</v>
      </c>
      <c r="F22" s="24">
        <f t="shared" si="6"/>
        <v>1089.3164303257602</v>
      </c>
      <c r="G22" s="24">
        <f t="shared" si="6"/>
        <v>1108.7850643996671</v>
      </c>
      <c r="H22" s="24">
        <f t="shared" si="6"/>
        <v>1153.136466975654</v>
      </c>
      <c r="I22" s="24">
        <f t="shared" si="6"/>
        <v>1199.2619256546805</v>
      </c>
      <c r="J22" s="24">
        <f t="shared" si="6"/>
        <v>1247.2324026808674</v>
      </c>
      <c r="K22" s="24">
        <f t="shared" si="6"/>
        <v>1297.1216987881021</v>
      </c>
      <c r="L22" s="24">
        <f t="shared" si="6"/>
        <v>1378.3327964513574</v>
      </c>
    </row>
    <row r="23" spans="1:13" x14ac:dyDescent="0.45">
      <c r="A23" t="s">
        <v>13</v>
      </c>
      <c r="B23" s="15">
        <f>B22*B67</f>
        <v>221.66595000000007</v>
      </c>
      <c r="C23" s="15">
        <f t="shared" ref="C23:L23" si="7">C22*C67</f>
        <v>185.43797999999995</v>
      </c>
      <c r="D23" s="15">
        <f t="shared" si="7"/>
        <v>209.99821023999999</v>
      </c>
      <c r="E23" s="15">
        <f t="shared" si="7"/>
        <v>213.94103377920001</v>
      </c>
      <c r="F23" s="15">
        <f t="shared" si="7"/>
        <v>217.86328606515204</v>
      </c>
      <c r="G23" s="15">
        <f t="shared" si="7"/>
        <v>221.75701287993343</v>
      </c>
      <c r="H23" s="15">
        <f t="shared" si="7"/>
        <v>230.62729339513081</v>
      </c>
      <c r="I23" s="15">
        <f t="shared" si="7"/>
        <v>239.85238513093611</v>
      </c>
      <c r="J23" s="15">
        <f t="shared" si="7"/>
        <v>249.44648053617348</v>
      </c>
      <c r="K23" s="15">
        <f t="shared" si="7"/>
        <v>259.42433975762043</v>
      </c>
      <c r="L23" s="15">
        <f t="shared" si="7"/>
        <v>275.66655929027149</v>
      </c>
    </row>
    <row r="25" spans="1:13" x14ac:dyDescent="0.45">
      <c r="A25" t="s">
        <v>14</v>
      </c>
      <c r="B25" s="15">
        <f>B22-B23</f>
        <v>849.1840500000003</v>
      </c>
      <c r="C25" s="15">
        <f t="shared" ref="C25:L25" si="8">C22-C23</f>
        <v>844.77301999999986</v>
      </c>
      <c r="D25" s="15">
        <f t="shared" si="8"/>
        <v>839.99284095999997</v>
      </c>
      <c r="E25" s="15">
        <f t="shared" si="8"/>
        <v>855.76413511680005</v>
      </c>
      <c r="F25" s="15">
        <f t="shared" si="8"/>
        <v>871.45314426060816</v>
      </c>
      <c r="G25" s="15">
        <f t="shared" si="8"/>
        <v>887.02805151973371</v>
      </c>
      <c r="H25" s="15">
        <f t="shared" si="8"/>
        <v>922.50917358052322</v>
      </c>
      <c r="I25" s="15">
        <f t="shared" si="8"/>
        <v>959.40954052374434</v>
      </c>
      <c r="J25" s="15">
        <f t="shared" si="8"/>
        <v>997.78592214469393</v>
      </c>
      <c r="K25" s="15">
        <f t="shared" si="8"/>
        <v>1037.6973590304817</v>
      </c>
      <c r="L25" s="15">
        <f t="shared" si="8"/>
        <v>1102.666237161086</v>
      </c>
    </row>
    <row r="27" spans="1:13" x14ac:dyDescent="0.45">
      <c r="A27" t="s">
        <v>59</v>
      </c>
      <c r="B27">
        <v>54.3</v>
      </c>
      <c r="C27" s="15">
        <f>C109</f>
        <v>79.11090909090909</v>
      </c>
      <c r="D27" s="15">
        <f t="shared" ref="D27:L27" si="9">D109</f>
        <v>87.097818181818184</v>
      </c>
      <c r="E27" s="15">
        <f t="shared" si="9"/>
        <v>95.31552727272728</v>
      </c>
      <c r="F27" s="15">
        <f t="shared" si="9"/>
        <v>103.61566836363637</v>
      </c>
      <c r="G27" s="15">
        <f t="shared" si="9"/>
        <v>112.47073873454546</v>
      </c>
      <c r="H27" s="15">
        <f t="shared" si="9"/>
        <v>122.89413555665455</v>
      </c>
      <c r="I27" s="15">
        <f t="shared" si="9"/>
        <v>135.01019188801163</v>
      </c>
      <c r="J27" s="15">
        <f t="shared" si="9"/>
        <v>147.78421410898667</v>
      </c>
      <c r="K27" s="15">
        <f t="shared" si="9"/>
        <v>161.24252085516432</v>
      </c>
      <c r="L27" s="15">
        <f t="shared" si="9"/>
        <v>175.41248350755271</v>
      </c>
    </row>
    <row r="28" spans="1:13" x14ac:dyDescent="0.45">
      <c r="A28" t="s">
        <v>60</v>
      </c>
      <c r="B28">
        <v>-115.63</v>
      </c>
      <c r="C28">
        <v>-130</v>
      </c>
      <c r="D28" s="15">
        <f>C28*(1+D73)</f>
        <v>-135.20000000000002</v>
      </c>
      <c r="E28" s="15">
        <f t="shared" ref="E28:L28" si="10">D28*(1+E73)</f>
        <v>-140.60800000000003</v>
      </c>
      <c r="F28" s="15">
        <f t="shared" si="10"/>
        <v>-146.23232000000004</v>
      </c>
      <c r="G28" s="15">
        <f t="shared" si="10"/>
        <v>-152.08161280000004</v>
      </c>
      <c r="H28" s="15">
        <f t="shared" si="10"/>
        <v>-158.16487731200004</v>
      </c>
      <c r="I28" s="15">
        <f t="shared" si="10"/>
        <v>-164.49147240448005</v>
      </c>
      <c r="J28" s="15">
        <f t="shared" si="10"/>
        <v>-171.07113130065926</v>
      </c>
      <c r="K28" s="15">
        <f t="shared" si="10"/>
        <v>-177.91397655268563</v>
      </c>
      <c r="L28" s="15">
        <f t="shared" si="10"/>
        <v>-185.03053561479305</v>
      </c>
    </row>
    <row r="29" spans="1:13" x14ac:dyDescent="0.45">
      <c r="A29" t="s">
        <v>61</v>
      </c>
      <c r="B29">
        <f>-13.32+86.35+31.84-37.2+46.7</f>
        <v>114.37</v>
      </c>
      <c r="C29" s="15">
        <f>(B8-C8)*$B$75</f>
        <v>-11.92120000000001</v>
      </c>
      <c r="D29" s="15">
        <f t="shared" ref="D29:L29" si="11">(C8-D8)*$B$75</f>
        <v>-12.398048000000031</v>
      </c>
      <c r="E29" s="15">
        <f t="shared" si="11"/>
        <v>-12.893969919999995</v>
      </c>
      <c r="F29" s="15">
        <f t="shared" si="11"/>
        <v>-13.409728716800021</v>
      </c>
      <c r="G29" s="15">
        <f t="shared" si="11"/>
        <v>-13.946117865472026</v>
      </c>
      <c r="H29" s="15">
        <f t="shared" si="11"/>
        <v>-14.503962580090896</v>
      </c>
      <c r="I29" s="15">
        <f t="shared" si="11"/>
        <v>-15.084121083294512</v>
      </c>
      <c r="J29" s="15">
        <f t="shared" si="11"/>
        <v>-15.687485926626282</v>
      </c>
      <c r="K29" s="15">
        <f t="shared" si="11"/>
        <v>-16.314985363691367</v>
      </c>
      <c r="L29" s="15">
        <f t="shared" si="11"/>
        <v>-16.967584778238997</v>
      </c>
    </row>
    <row r="31" spans="1:13" x14ac:dyDescent="0.45">
      <c r="A31" t="s">
        <v>15</v>
      </c>
      <c r="B31" s="15">
        <f>B25+B27+B28+B29</f>
        <v>902.22405000000026</v>
      </c>
      <c r="C31" s="15">
        <f t="shared" ref="C31:L31" si="12">C25+C27+C28+C29</f>
        <v>781.96272909090897</v>
      </c>
      <c r="D31" s="15">
        <f t="shared" si="12"/>
        <v>779.49261114181809</v>
      </c>
      <c r="E31" s="15">
        <f t="shared" si="12"/>
        <v>797.57769246952728</v>
      </c>
      <c r="F31" s="15">
        <f t="shared" si="12"/>
        <v>815.42676390744441</v>
      </c>
      <c r="G31" s="15">
        <f t="shared" si="12"/>
        <v>833.47105958880707</v>
      </c>
      <c r="H31" s="15">
        <f t="shared" si="12"/>
        <v>872.73446924508687</v>
      </c>
      <c r="I31" s="15">
        <f t="shared" si="12"/>
        <v>914.84413892398152</v>
      </c>
      <c r="J31" s="15">
        <f t="shared" si="12"/>
        <v>958.81151902639499</v>
      </c>
      <c r="K31" s="15">
        <f t="shared" si="12"/>
        <v>1004.710917969269</v>
      </c>
      <c r="L31" s="15">
        <f t="shared" si="12"/>
        <v>1076.0806002756067</v>
      </c>
      <c r="M31" s="15">
        <f>(L31*(1+0.01))/(B85-0.01)</f>
        <v>12667.034102468097</v>
      </c>
    </row>
    <row r="32" spans="1:13" x14ac:dyDescent="0.45">
      <c r="A32" t="s">
        <v>16</v>
      </c>
      <c r="C32" s="19">
        <f>1/(1+$B$85)^(C86/12)</f>
        <v>0.95528772518159499</v>
      </c>
      <c r="D32" s="19">
        <f t="shared" ref="D32:K32" si="13">1/(1+$B$85)^(D86/12)</f>
        <v>0.87177134988131244</v>
      </c>
      <c r="E32" s="19">
        <f t="shared" si="13"/>
        <v>0.79555642393438741</v>
      </c>
      <c r="F32" s="19">
        <f t="shared" si="13"/>
        <v>0.72600461548712114</v>
      </c>
      <c r="G32" s="19">
        <f t="shared" si="13"/>
        <v>0.66253339907927533</v>
      </c>
      <c r="H32" s="19">
        <f t="shared" si="13"/>
        <v>0.60461117674991549</v>
      </c>
      <c r="I32" s="19">
        <f t="shared" si="13"/>
        <v>0.55175282568234296</v>
      </c>
      <c r="J32" s="19">
        <f t="shared" si="13"/>
        <v>0.50351563509778019</v>
      </c>
      <c r="K32" s="19">
        <f t="shared" si="13"/>
        <v>0.45949559836759762</v>
      </c>
      <c r="L32" s="19">
        <f>1/(1+$B$85)^(L86/12)</f>
        <v>0.41932402928897133</v>
      </c>
      <c r="M32" s="19">
        <f>1/(1+$B$85)^(M86/12)</f>
        <v>0.40057509805344194</v>
      </c>
    </row>
    <row r="34" spans="1:17" x14ac:dyDescent="0.45">
      <c r="A34" t="s">
        <v>17</v>
      </c>
      <c r="B34" s="15">
        <f>B31</f>
        <v>902.22405000000026</v>
      </c>
      <c r="C34" s="15">
        <f>C31*C32</f>
        <v>746.99939665004626</v>
      </c>
      <c r="D34" s="15">
        <f t="shared" ref="D34:K34" si="14">D31*D32</f>
        <v>679.53932583761173</v>
      </c>
      <c r="E34" s="15">
        <f t="shared" si="14"/>
        <v>634.51805683089776</v>
      </c>
      <c r="F34" s="15">
        <f t="shared" si="14"/>
        <v>592.00359418853168</v>
      </c>
      <c r="G34" s="15">
        <f t="shared" si="14"/>
        <v>552.20241414357758</v>
      </c>
      <c r="H34" s="15">
        <f t="shared" si="14"/>
        <v>527.66501444048492</v>
      </c>
      <c r="I34" s="15">
        <f t="shared" si="14"/>
        <v>504.76783871023673</v>
      </c>
      <c r="J34" s="15">
        <f t="shared" si="14"/>
        <v>482.77659094164261</v>
      </c>
      <c r="K34" s="15">
        <f t="shared" si="14"/>
        <v>461.66024443874755</v>
      </c>
      <c r="L34" s="15">
        <f>L31*L32</f>
        <v>451.22645314726236</v>
      </c>
      <c r="M34" s="15">
        <f>M31*M32</f>
        <v>5074.0984276424506</v>
      </c>
    </row>
    <row r="36" spans="1:17" x14ac:dyDescent="0.45">
      <c r="A36" t="s">
        <v>18</v>
      </c>
      <c r="B36" s="24">
        <f>SUM(B34:M34)</f>
        <v>11609.681406971489</v>
      </c>
      <c r="E36" t="s">
        <v>75</v>
      </c>
      <c r="G36" s="28">
        <f>M34/B36</f>
        <v>0.43705750827886708</v>
      </c>
    </row>
    <row r="37" spans="1:17" x14ac:dyDescent="0.45">
      <c r="A37" t="s">
        <v>19</v>
      </c>
      <c r="B37" s="24">
        <f>-Calculations!B4</f>
        <v>-1713.3</v>
      </c>
    </row>
    <row r="38" spans="1:17" x14ac:dyDescent="0.45">
      <c r="A38" t="s">
        <v>20</v>
      </c>
      <c r="B38">
        <v>149.30000000000001</v>
      </c>
    </row>
    <row r="40" spans="1:17" x14ac:dyDescent="0.45">
      <c r="A40" t="s">
        <v>21</v>
      </c>
      <c r="B40" s="24">
        <f>SUM(B36:B38)</f>
        <v>10045.681406971489</v>
      </c>
    </row>
    <row r="41" spans="1:17" x14ac:dyDescent="0.45">
      <c r="A41" t="s">
        <v>22</v>
      </c>
      <c r="B41">
        <v>61.7</v>
      </c>
    </row>
    <row r="43" spans="1:17" x14ac:dyDescent="0.45">
      <c r="A43" t="s">
        <v>23</v>
      </c>
      <c r="B43" s="22">
        <f>B40/B41</f>
        <v>162.81493366242285</v>
      </c>
      <c r="E43" t="s">
        <v>78</v>
      </c>
      <c r="F43" s="27">
        <f>B43/B45-1</f>
        <v>0.29836470225217582</v>
      </c>
    </row>
    <row r="45" spans="1:17" x14ac:dyDescent="0.45">
      <c r="A45" t="s">
        <v>79</v>
      </c>
      <c r="B45">
        <v>125.4</v>
      </c>
    </row>
    <row r="46" spans="1:17" x14ac:dyDescent="0.45">
      <c r="A46" s="29" t="s">
        <v>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x14ac:dyDescent="0.45">
      <c r="A47" s="29" t="s">
        <v>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x14ac:dyDescent="0.45">
      <c r="A48" s="29" t="s">
        <v>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x14ac:dyDescent="0.45">
      <c r="A49" s="29" t="s">
        <v>25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1" spans="1:17" x14ac:dyDescent="0.45">
      <c r="B51" s="4">
        <v>2023</v>
      </c>
      <c r="C51" s="4">
        <v>2024</v>
      </c>
      <c r="D51" s="4">
        <v>2025</v>
      </c>
      <c r="E51" s="4">
        <v>2026</v>
      </c>
      <c r="F51" s="4">
        <v>2027</v>
      </c>
      <c r="G51" s="4">
        <v>2028</v>
      </c>
      <c r="H51" s="4">
        <v>2029</v>
      </c>
      <c r="I51" s="4">
        <v>2030</v>
      </c>
      <c r="J51" s="4">
        <v>2031</v>
      </c>
      <c r="K51" s="4">
        <v>2032</v>
      </c>
      <c r="L51" s="4">
        <v>2033</v>
      </c>
    </row>
    <row r="52" spans="1:17" x14ac:dyDescent="0.45">
      <c r="A52" t="s">
        <v>26</v>
      </c>
      <c r="B52" s="7">
        <v>0.11459999999999999</v>
      </c>
      <c r="C52" s="9">
        <v>0.04</v>
      </c>
      <c r="D52" s="9">
        <v>0.04</v>
      </c>
      <c r="E52" s="9">
        <v>0.04</v>
      </c>
      <c r="F52" s="9">
        <v>0.04</v>
      </c>
      <c r="G52" s="9">
        <v>0.04</v>
      </c>
      <c r="H52" s="9">
        <v>0.04</v>
      </c>
      <c r="I52" s="9">
        <v>0.04</v>
      </c>
      <c r="J52" s="9">
        <v>0.04</v>
      </c>
      <c r="K52" s="9">
        <v>0.04</v>
      </c>
      <c r="L52" s="9">
        <v>0.04</v>
      </c>
    </row>
    <row r="53" spans="1:17" x14ac:dyDescent="0.45">
      <c r="A53" t="s">
        <v>27</v>
      </c>
      <c r="B53" s="7">
        <f>B9/B8</f>
        <v>0.44224765606269006</v>
      </c>
      <c r="C53" s="7">
        <v>0.44</v>
      </c>
      <c r="D53" s="7">
        <v>0.44</v>
      </c>
      <c r="E53" s="7">
        <v>0.44</v>
      </c>
      <c r="F53" s="7">
        <v>0.44</v>
      </c>
      <c r="G53" s="7">
        <v>0.44</v>
      </c>
      <c r="H53" s="7">
        <v>0.44</v>
      </c>
      <c r="I53" s="7">
        <v>0.44</v>
      </c>
      <c r="J53" s="7">
        <v>0.44</v>
      </c>
      <c r="K53" s="7">
        <v>0.44</v>
      </c>
      <c r="L53" s="7">
        <v>0.435</v>
      </c>
    </row>
    <row r="55" spans="1:17" x14ac:dyDescent="0.45">
      <c r="A55" t="s">
        <v>6</v>
      </c>
      <c r="B55" s="7">
        <f>B11/B8</f>
        <v>0.55775234393730999</v>
      </c>
      <c r="C55" s="11">
        <f>1-C53</f>
        <v>0.56000000000000005</v>
      </c>
      <c r="D55" s="11">
        <f t="shared" ref="D55:L55" si="15">1-D53</f>
        <v>0.56000000000000005</v>
      </c>
      <c r="E55" s="11">
        <f t="shared" si="15"/>
        <v>0.56000000000000005</v>
      </c>
      <c r="F55" s="11">
        <f t="shared" si="15"/>
        <v>0.56000000000000005</v>
      </c>
      <c r="G55" s="11">
        <f t="shared" si="15"/>
        <v>0.56000000000000005</v>
      </c>
      <c r="H55" s="11">
        <f t="shared" si="15"/>
        <v>0.56000000000000005</v>
      </c>
      <c r="I55" s="11">
        <f t="shared" si="15"/>
        <v>0.56000000000000005</v>
      </c>
      <c r="J55" s="11">
        <f t="shared" si="15"/>
        <v>0.56000000000000005</v>
      </c>
      <c r="K55" s="11">
        <f t="shared" si="15"/>
        <v>0.56000000000000005</v>
      </c>
      <c r="L55" s="11">
        <f t="shared" si="15"/>
        <v>0.56499999999999995</v>
      </c>
    </row>
    <row r="57" spans="1:17" x14ac:dyDescent="0.45">
      <c r="A57" t="s">
        <v>7</v>
      </c>
    </row>
    <row r="58" spans="1:17" x14ac:dyDescent="0.45">
      <c r="A58" s="2" t="s">
        <v>28</v>
      </c>
      <c r="B58" s="7">
        <f>B14/B8</f>
        <v>0.28741277272325766</v>
      </c>
      <c r="C58" s="10">
        <v>0.31</v>
      </c>
      <c r="D58" s="13">
        <v>0.315</v>
      </c>
      <c r="E58" s="13">
        <v>0.32</v>
      </c>
      <c r="F58" s="13">
        <v>0.32500000000000001</v>
      </c>
      <c r="G58" s="13">
        <v>0.33</v>
      </c>
      <c r="H58" s="13">
        <v>0.33</v>
      </c>
      <c r="I58" s="13">
        <v>0.33</v>
      </c>
      <c r="J58" s="13">
        <v>0.33</v>
      </c>
      <c r="K58" s="13">
        <v>0.33</v>
      </c>
      <c r="L58" s="13">
        <v>0.33</v>
      </c>
    </row>
    <row r="60" spans="1:17" x14ac:dyDescent="0.45">
      <c r="A60" t="s">
        <v>9</v>
      </c>
      <c r="B60" s="7">
        <f>B58</f>
        <v>0.28741277272325766</v>
      </c>
      <c r="C60" s="9">
        <f>C58</f>
        <v>0.31</v>
      </c>
      <c r="D60" s="9">
        <f t="shared" ref="D60:L60" si="16">D58</f>
        <v>0.315</v>
      </c>
      <c r="E60" s="9">
        <f t="shared" si="16"/>
        <v>0.32</v>
      </c>
      <c r="F60" s="9">
        <f t="shared" si="16"/>
        <v>0.32500000000000001</v>
      </c>
      <c r="G60" s="9">
        <f t="shared" si="16"/>
        <v>0.33</v>
      </c>
      <c r="H60" s="9">
        <f t="shared" si="16"/>
        <v>0.33</v>
      </c>
      <c r="I60" s="9">
        <f t="shared" si="16"/>
        <v>0.33</v>
      </c>
      <c r="J60" s="9">
        <f t="shared" si="16"/>
        <v>0.33</v>
      </c>
      <c r="K60" s="9">
        <f t="shared" si="16"/>
        <v>0.33</v>
      </c>
      <c r="L60" s="9">
        <f t="shared" si="16"/>
        <v>0.33</v>
      </c>
    </row>
    <row r="62" spans="1:17" x14ac:dyDescent="0.45">
      <c r="A62" t="s">
        <v>10</v>
      </c>
      <c r="B62" s="7">
        <f>B18/B8</f>
        <v>0.27033957121405233</v>
      </c>
      <c r="C62" s="9">
        <f>C18/C8</f>
        <v>0.24999999999999994</v>
      </c>
      <c r="D62" s="7">
        <f>D18/D8</f>
        <v>0.24499999999999994</v>
      </c>
      <c r="E62" s="7">
        <f t="shared" ref="E62:L62" si="17">E18/E8</f>
        <v>0.24</v>
      </c>
      <c r="F62" s="7">
        <f t="shared" si="17"/>
        <v>0.23499999999999999</v>
      </c>
      <c r="G62" s="7">
        <f t="shared" si="17"/>
        <v>0.22999999999999993</v>
      </c>
      <c r="H62" s="7">
        <f t="shared" si="17"/>
        <v>0.22999999999999995</v>
      </c>
      <c r="I62" s="7">
        <f t="shared" si="17"/>
        <v>0.23</v>
      </c>
      <c r="J62" s="7">
        <f t="shared" si="17"/>
        <v>0.22999999999999998</v>
      </c>
      <c r="K62" s="7">
        <f t="shared" si="17"/>
        <v>0.22999999999999998</v>
      </c>
      <c r="L62" s="7">
        <f t="shared" si="17"/>
        <v>0.23500000000000001</v>
      </c>
    </row>
    <row r="64" spans="1:17" x14ac:dyDescent="0.45">
      <c r="A64" t="s">
        <v>11</v>
      </c>
      <c r="B64" s="12">
        <f>-B20/B8</f>
        <v>8.3283909801001933E-5</v>
      </c>
      <c r="C64" s="12">
        <f t="shared" ref="C64:L64" si="18">-C20/C8</f>
        <v>0</v>
      </c>
      <c r="D64" s="12">
        <f t="shared" si="18"/>
        <v>0</v>
      </c>
      <c r="E64" s="12">
        <f t="shared" si="18"/>
        <v>0</v>
      </c>
      <c r="F64" s="12">
        <f t="shared" si="18"/>
        <v>0</v>
      </c>
      <c r="G64" s="12">
        <f t="shared" si="18"/>
        <v>0</v>
      </c>
      <c r="H64" s="12">
        <f t="shared" si="18"/>
        <v>0</v>
      </c>
      <c r="I64" s="12">
        <f t="shared" si="18"/>
        <v>0</v>
      </c>
      <c r="J64" s="12">
        <f t="shared" si="18"/>
        <v>0</v>
      </c>
      <c r="K64" s="12">
        <f t="shared" si="18"/>
        <v>0</v>
      </c>
      <c r="L64" s="12">
        <f t="shared" si="18"/>
        <v>0</v>
      </c>
    </row>
    <row r="66" spans="1:12" x14ac:dyDescent="0.45">
      <c r="A66" t="s">
        <v>12</v>
      </c>
      <c r="B66" s="8">
        <f>B22/B8</f>
        <v>0.27025628730425139</v>
      </c>
      <c r="C66" s="8">
        <f t="shared" ref="C66:L66" si="19">C22/C8</f>
        <v>0.24999999999999994</v>
      </c>
      <c r="D66" s="8">
        <f t="shared" si="19"/>
        <v>0.24499999999999994</v>
      </c>
      <c r="E66" s="8">
        <f t="shared" si="19"/>
        <v>0.24</v>
      </c>
      <c r="F66" s="8">
        <f t="shared" si="19"/>
        <v>0.23499999999999999</v>
      </c>
      <c r="G66" s="8">
        <f t="shared" si="19"/>
        <v>0.22999999999999993</v>
      </c>
      <c r="H66" s="8">
        <f t="shared" si="19"/>
        <v>0.22999999999999995</v>
      </c>
      <c r="I66" s="8">
        <f t="shared" si="19"/>
        <v>0.23</v>
      </c>
      <c r="J66" s="8">
        <f t="shared" si="19"/>
        <v>0.22999999999999998</v>
      </c>
      <c r="K66" s="8">
        <f t="shared" si="19"/>
        <v>0.22999999999999998</v>
      </c>
      <c r="L66" s="8">
        <f t="shared" si="19"/>
        <v>0.23500000000000001</v>
      </c>
    </row>
    <row r="67" spans="1:12" x14ac:dyDescent="0.45">
      <c r="A67" t="s">
        <v>43</v>
      </c>
      <c r="B67" s="8">
        <v>0.20699999999999999</v>
      </c>
      <c r="C67" s="8">
        <v>0.18</v>
      </c>
      <c r="D67" s="8">
        <v>0.2</v>
      </c>
      <c r="E67" s="8">
        <v>0.2</v>
      </c>
      <c r="F67" s="8">
        <v>0.2</v>
      </c>
      <c r="G67" s="8">
        <v>0.2</v>
      </c>
      <c r="H67" s="8">
        <v>0.2</v>
      </c>
      <c r="I67" s="8">
        <v>0.2</v>
      </c>
      <c r="J67" s="8">
        <v>0.2</v>
      </c>
      <c r="K67" s="8">
        <v>0.2</v>
      </c>
      <c r="L67" s="8">
        <v>0.2</v>
      </c>
    </row>
    <row r="69" spans="1:12" x14ac:dyDescent="0.45">
      <c r="A69" t="s">
        <v>14</v>
      </c>
      <c r="B69" s="8">
        <f>B25/B8</f>
        <v>0.21431323583227133</v>
      </c>
      <c r="C69" s="8">
        <f t="shared" ref="C69:K69" si="20">C25/C8</f>
        <v>0.20499999999999996</v>
      </c>
      <c r="D69" s="8">
        <f t="shared" si="20"/>
        <v>0.19599999999999998</v>
      </c>
      <c r="E69" s="8">
        <f t="shared" si="20"/>
        <v>0.192</v>
      </c>
      <c r="F69" s="8">
        <f t="shared" si="20"/>
        <v>0.188</v>
      </c>
      <c r="G69" s="8">
        <f t="shared" si="20"/>
        <v>0.18399999999999994</v>
      </c>
      <c r="H69" s="8">
        <f t="shared" si="20"/>
        <v>0.18399999999999997</v>
      </c>
      <c r="I69" s="8">
        <f t="shared" si="20"/>
        <v>0.18400000000000002</v>
      </c>
      <c r="J69" s="8">
        <f t="shared" si="20"/>
        <v>0.184</v>
      </c>
      <c r="K69" s="8">
        <f t="shared" si="20"/>
        <v>0.184</v>
      </c>
      <c r="L69" s="8">
        <f>L25/L8</f>
        <v>0.18800000000000003</v>
      </c>
    </row>
    <row r="71" spans="1:12" x14ac:dyDescent="0.45">
      <c r="A71" s="1" t="s">
        <v>29</v>
      </c>
      <c r="B71" s="1">
        <v>238.32</v>
      </c>
      <c r="C71" s="15">
        <f>B71-C28-C27</f>
        <v>289.20909090909089</v>
      </c>
      <c r="D71" s="15">
        <f t="shared" ref="D71:J71" si="21">C71-D28-D27</f>
        <v>337.31127272727269</v>
      </c>
      <c r="E71" s="15">
        <f t="shared" si="21"/>
        <v>382.60374545454545</v>
      </c>
      <c r="F71" s="15">
        <f t="shared" si="21"/>
        <v>425.22039709090916</v>
      </c>
      <c r="G71" s="15">
        <f t="shared" si="21"/>
        <v>464.8312711563637</v>
      </c>
      <c r="H71" s="15">
        <f t="shared" si="21"/>
        <v>500.10201291170927</v>
      </c>
      <c r="I71" s="15">
        <f t="shared" si="21"/>
        <v>529.58329342817774</v>
      </c>
      <c r="J71" s="15">
        <f t="shared" si="21"/>
        <v>552.87021061985035</v>
      </c>
      <c r="K71" s="15">
        <f>J71-K28-K27</f>
        <v>569.54166631737166</v>
      </c>
      <c r="L71" s="15">
        <f t="shared" ref="L71" si="22">K71-L28-L27</f>
        <v>579.15971842461204</v>
      </c>
    </row>
    <row r="72" spans="1:12" x14ac:dyDescent="0.45">
      <c r="A72" s="1" t="s">
        <v>30</v>
      </c>
      <c r="B72" s="14">
        <f>B8/B71</f>
        <v>16.626174890902988</v>
      </c>
      <c r="C72" s="14">
        <f>C8/C71</f>
        <v>14.248666897180399</v>
      </c>
      <c r="D72" s="14">
        <f t="shared" ref="D72:K72" si="23">D8/D71</f>
        <v>12.705409236249013</v>
      </c>
      <c r="E72" s="14">
        <f t="shared" si="23"/>
        <v>11.649402085974923</v>
      </c>
      <c r="F72" s="14">
        <f t="shared" si="23"/>
        <v>10.901144669748724</v>
      </c>
      <c r="G72" s="14">
        <f t="shared" si="23"/>
        <v>10.371085008613759</v>
      </c>
      <c r="H72" s="14">
        <f t="shared" si="23"/>
        <v>10.025228220432622</v>
      </c>
      <c r="I72" s="14">
        <f t="shared" si="23"/>
        <v>9.8458209504720351</v>
      </c>
      <c r="J72" s="14">
        <f t="shared" si="23"/>
        <v>9.808359127893004</v>
      </c>
      <c r="K72" s="14">
        <f t="shared" si="23"/>
        <v>9.9021018012852888</v>
      </c>
      <c r="L72" s="14">
        <f>L8/L71</f>
        <v>10.127164848930473</v>
      </c>
    </row>
    <row r="73" spans="1:12" x14ac:dyDescent="0.45">
      <c r="A73" s="1" t="s">
        <v>31</v>
      </c>
      <c r="B73" s="16">
        <v>0.10979999999999999</v>
      </c>
      <c r="C73" s="8">
        <f>(C28-B28)/B28</f>
        <v>0.12427570699645425</v>
      </c>
      <c r="D73" s="9">
        <f>D52</f>
        <v>0.04</v>
      </c>
      <c r="E73" s="9">
        <f t="shared" ref="E73:L73" si="24">E52</f>
        <v>0.04</v>
      </c>
      <c r="F73" s="9">
        <f t="shared" si="24"/>
        <v>0.04</v>
      </c>
      <c r="G73" s="9">
        <f t="shared" si="24"/>
        <v>0.04</v>
      </c>
      <c r="H73" s="9">
        <f t="shared" si="24"/>
        <v>0.04</v>
      </c>
      <c r="I73" s="9">
        <f t="shared" si="24"/>
        <v>0.04</v>
      </c>
      <c r="J73" s="9">
        <f t="shared" si="24"/>
        <v>0.04</v>
      </c>
      <c r="K73" s="9">
        <f t="shared" si="24"/>
        <v>0.04</v>
      </c>
      <c r="L73" s="9">
        <f t="shared" si="24"/>
        <v>0.04</v>
      </c>
    </row>
    <row r="74" spans="1:12" x14ac:dyDescent="0.45">
      <c r="A74" s="1" t="s">
        <v>32</v>
      </c>
      <c r="B74" s="18">
        <f>B106/B8</f>
        <v>2.289045642106326E-3</v>
      </c>
      <c r="C74" s="18">
        <f t="shared" ref="C74:L74" si="25">C106/C8</f>
        <v>1.3669750442120373E-2</v>
      </c>
      <c r="D74" s="18">
        <f t="shared" si="25"/>
        <v>1.5287621200390525E-2</v>
      </c>
      <c r="E74" s="18">
        <f t="shared" si="25"/>
        <v>1.6882153204973705E-2</v>
      </c>
      <c r="F74" s="18">
        <f t="shared" si="25"/>
        <v>1.8452748444676793E-2</v>
      </c>
      <c r="G74" s="18">
        <f t="shared" si="25"/>
        <v>1.9998889433951242E-2</v>
      </c>
      <c r="H74" s="18">
        <f t="shared" si="25"/>
        <v>2.1520133903244663E-2</v>
      </c>
      <c r="I74" s="18">
        <f t="shared" si="25"/>
        <v>2.3016109778666142E-2</v>
      </c>
      <c r="J74" s="18">
        <f t="shared" si="25"/>
        <v>2.4486510436564867E-2</v>
      </c>
      <c r="K74" s="18">
        <f t="shared" si="25"/>
        <v>2.5931090219301414E-2</v>
      </c>
      <c r="L74" s="18">
        <f t="shared" si="25"/>
        <v>2.73496601991399E-2</v>
      </c>
    </row>
    <row r="75" spans="1:12" x14ac:dyDescent="0.45">
      <c r="A75" s="1" t="s">
        <v>33</v>
      </c>
      <c r="B75" s="18">
        <f>298.03/B8</f>
        <v>7.5215465569674553E-2</v>
      </c>
    </row>
    <row r="77" spans="1:12" x14ac:dyDescent="0.45">
      <c r="A77" s="1" t="s">
        <v>34</v>
      </c>
      <c r="B77" s="1"/>
    </row>
    <row r="78" spans="1:12" x14ac:dyDescent="0.45">
      <c r="A78" s="3" t="s">
        <v>35</v>
      </c>
      <c r="B78" s="16">
        <v>4.5999999999999999E-2</v>
      </c>
    </row>
    <row r="79" spans="1:12" x14ac:dyDescent="0.45">
      <c r="A79" s="3" t="s">
        <v>36</v>
      </c>
      <c r="B79" s="20">
        <v>4.5999999999999999E-2</v>
      </c>
    </row>
    <row r="80" spans="1:12" x14ac:dyDescent="0.45">
      <c r="A80" s="3" t="s">
        <v>37</v>
      </c>
      <c r="B80" s="1">
        <v>1.27</v>
      </c>
    </row>
    <row r="81" spans="1:17" x14ac:dyDescent="0.45">
      <c r="A81" s="3" t="s">
        <v>38</v>
      </c>
      <c r="B81" s="16">
        <f>B78+B79*B80</f>
        <v>0.10442</v>
      </c>
    </row>
    <row r="82" spans="1:17" x14ac:dyDescent="0.45">
      <c r="A82" s="3" t="s">
        <v>39</v>
      </c>
      <c r="B82" s="16">
        <v>7.0999999999999994E-2</v>
      </c>
    </row>
    <row r="83" spans="1:17" x14ac:dyDescent="0.45">
      <c r="A83" s="3" t="s">
        <v>40</v>
      </c>
      <c r="B83" s="16">
        <v>0.2</v>
      </c>
    </row>
    <row r="84" spans="1:17" x14ac:dyDescent="0.45">
      <c r="A84" s="3" t="s">
        <v>41</v>
      </c>
      <c r="B84" s="16">
        <v>0.18099999999999999</v>
      </c>
    </row>
    <row r="85" spans="1:17" x14ac:dyDescent="0.45">
      <c r="A85" s="3" t="s">
        <v>42</v>
      </c>
      <c r="B85" s="16">
        <f>(B82*(1-B83)*B84)+(B81*(1-B84))</f>
        <v>9.5800780000000002E-2</v>
      </c>
    </row>
    <row r="86" spans="1:17" x14ac:dyDescent="0.45">
      <c r="C86" s="21">
        <v>6</v>
      </c>
      <c r="D86" s="21">
        <f>+C86+12</f>
        <v>18</v>
      </c>
      <c r="E86" s="21">
        <f t="shared" ref="E86:L86" si="26">+D86+12</f>
        <v>30</v>
      </c>
      <c r="F86" s="21">
        <f t="shared" si="26"/>
        <v>42</v>
      </c>
      <c r="G86" s="21">
        <f t="shared" si="26"/>
        <v>54</v>
      </c>
      <c r="H86" s="21">
        <f t="shared" si="26"/>
        <v>66</v>
      </c>
      <c r="I86" s="21">
        <f t="shared" si="26"/>
        <v>78</v>
      </c>
      <c r="J86" s="21">
        <f t="shared" si="26"/>
        <v>90</v>
      </c>
      <c r="K86" s="21">
        <f t="shared" si="26"/>
        <v>102</v>
      </c>
      <c r="L86" s="21">
        <f t="shared" si="26"/>
        <v>114</v>
      </c>
      <c r="M86" s="21">
        <f>+L86+6</f>
        <v>120</v>
      </c>
    </row>
    <row r="88" spans="1:17" x14ac:dyDescent="0.45">
      <c r="A88" s="29" t="s">
        <v>0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 spans="1:17" x14ac:dyDescent="0.45">
      <c r="A89" s="29" t="s">
        <v>1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 spans="1:17" x14ac:dyDescent="0.45">
      <c r="A90" s="29" t="s">
        <v>2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 spans="1:17" x14ac:dyDescent="0.45">
      <c r="A91" s="29" t="s">
        <v>44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3" spans="1:17" ht="14.65" thickBot="1" x14ac:dyDescent="0.5">
      <c r="B93" s="6">
        <v>2023</v>
      </c>
      <c r="C93" s="6">
        <v>2024</v>
      </c>
      <c r="D93" s="6">
        <v>2025</v>
      </c>
      <c r="E93" s="6">
        <v>2026</v>
      </c>
      <c r="F93" s="6">
        <v>2027</v>
      </c>
      <c r="G93" s="6">
        <v>2028</v>
      </c>
      <c r="H93" s="6">
        <v>2029</v>
      </c>
      <c r="I93" s="6">
        <v>2030</v>
      </c>
      <c r="J93" s="6">
        <v>2031</v>
      </c>
      <c r="K93" s="6">
        <v>2032</v>
      </c>
      <c r="L93" s="6">
        <v>2033</v>
      </c>
    </row>
    <row r="94" spans="1:17" x14ac:dyDescent="0.45">
      <c r="A94" t="s">
        <v>45</v>
      </c>
      <c r="C94" s="15">
        <f>$B$71*(2034-C93)/55</f>
        <v>43.330909090909088</v>
      </c>
      <c r="D94" s="15">
        <f t="shared" ref="D94:L94" si="27">$B$71*(2034-D93)/55</f>
        <v>38.997818181818182</v>
      </c>
      <c r="E94" s="15">
        <f t="shared" si="27"/>
        <v>34.664727272727269</v>
      </c>
      <c r="F94" s="15">
        <f t="shared" si="27"/>
        <v>30.331636363636363</v>
      </c>
      <c r="G94" s="15">
        <f t="shared" si="27"/>
        <v>25.998545454545457</v>
      </c>
      <c r="H94" s="15">
        <f t="shared" si="27"/>
        <v>21.665454545454544</v>
      </c>
      <c r="I94" s="15">
        <f t="shared" si="27"/>
        <v>17.332363636363635</v>
      </c>
      <c r="J94" s="15">
        <f t="shared" si="27"/>
        <v>12.999272727272729</v>
      </c>
      <c r="K94" s="15">
        <f t="shared" si="27"/>
        <v>8.6661818181818173</v>
      </c>
      <c r="L94" s="15">
        <f t="shared" si="27"/>
        <v>4.3330909090909087</v>
      </c>
    </row>
    <row r="95" spans="1:17" x14ac:dyDescent="0.45">
      <c r="A95" t="s">
        <v>46</v>
      </c>
      <c r="C95" s="15">
        <f>-($C$28/10)</f>
        <v>13</v>
      </c>
      <c r="D95" s="15">
        <f t="shared" ref="D95:L95" si="28">-($C$28/10)</f>
        <v>13</v>
      </c>
      <c r="E95" s="15">
        <f t="shared" si="28"/>
        <v>13</v>
      </c>
      <c r="F95" s="15">
        <f t="shared" si="28"/>
        <v>13</v>
      </c>
      <c r="G95" s="15">
        <f t="shared" si="28"/>
        <v>13</v>
      </c>
      <c r="H95" s="15">
        <f t="shared" si="28"/>
        <v>13</v>
      </c>
      <c r="I95" s="15">
        <f t="shared" si="28"/>
        <v>13</v>
      </c>
      <c r="J95" s="15">
        <f t="shared" si="28"/>
        <v>13</v>
      </c>
      <c r="K95" s="15">
        <f t="shared" si="28"/>
        <v>13</v>
      </c>
      <c r="L95" s="15">
        <f t="shared" si="28"/>
        <v>13</v>
      </c>
    </row>
    <row r="96" spans="1:17" x14ac:dyDescent="0.45">
      <c r="A96" t="s">
        <v>47</v>
      </c>
      <c r="D96" s="15">
        <f>-($D$28/10)</f>
        <v>13.520000000000001</v>
      </c>
      <c r="E96" s="15">
        <f t="shared" ref="E96:L96" si="29">-($D$28/10)</f>
        <v>13.520000000000001</v>
      </c>
      <c r="F96" s="15">
        <f t="shared" si="29"/>
        <v>13.520000000000001</v>
      </c>
      <c r="G96" s="15">
        <f t="shared" si="29"/>
        <v>13.520000000000001</v>
      </c>
      <c r="H96" s="15">
        <f t="shared" si="29"/>
        <v>13.520000000000001</v>
      </c>
      <c r="I96" s="15">
        <f t="shared" si="29"/>
        <v>13.520000000000001</v>
      </c>
      <c r="J96" s="15">
        <f t="shared" si="29"/>
        <v>13.520000000000001</v>
      </c>
      <c r="K96" s="15">
        <f t="shared" si="29"/>
        <v>13.520000000000001</v>
      </c>
      <c r="L96" s="15">
        <f t="shared" si="29"/>
        <v>13.520000000000001</v>
      </c>
    </row>
    <row r="97" spans="1:12" x14ac:dyDescent="0.45">
      <c r="A97" t="s">
        <v>48</v>
      </c>
      <c r="E97" s="15">
        <f>-($E$28/10)</f>
        <v>14.060800000000004</v>
      </c>
      <c r="F97" s="15">
        <f t="shared" ref="F97:L97" si="30">-($E$28/10)</f>
        <v>14.060800000000004</v>
      </c>
      <c r="G97" s="15">
        <f t="shared" si="30"/>
        <v>14.060800000000004</v>
      </c>
      <c r="H97" s="15">
        <f t="shared" si="30"/>
        <v>14.060800000000004</v>
      </c>
      <c r="I97" s="15">
        <f t="shared" si="30"/>
        <v>14.060800000000004</v>
      </c>
      <c r="J97" s="15">
        <f t="shared" si="30"/>
        <v>14.060800000000004</v>
      </c>
      <c r="K97" s="15">
        <f t="shared" si="30"/>
        <v>14.060800000000004</v>
      </c>
      <c r="L97" s="15">
        <f t="shared" si="30"/>
        <v>14.060800000000004</v>
      </c>
    </row>
    <row r="98" spans="1:12" x14ac:dyDescent="0.45">
      <c r="A98" t="s">
        <v>49</v>
      </c>
      <c r="F98" s="15">
        <f>-($F$28/10)</f>
        <v>14.623232000000005</v>
      </c>
      <c r="G98" s="15">
        <f t="shared" ref="G98:L98" si="31">-($F$28/10)</f>
        <v>14.623232000000005</v>
      </c>
      <c r="H98" s="15">
        <f t="shared" si="31"/>
        <v>14.623232000000005</v>
      </c>
      <c r="I98" s="15">
        <f t="shared" si="31"/>
        <v>14.623232000000005</v>
      </c>
      <c r="J98" s="15">
        <f t="shared" si="31"/>
        <v>14.623232000000005</v>
      </c>
      <c r="K98" s="15">
        <f t="shared" si="31"/>
        <v>14.623232000000005</v>
      </c>
      <c r="L98" s="15">
        <f t="shared" si="31"/>
        <v>14.623232000000005</v>
      </c>
    </row>
    <row r="99" spans="1:12" x14ac:dyDescent="0.45">
      <c r="A99" t="s">
        <v>50</v>
      </c>
      <c r="G99" s="15">
        <f>(-$G$28/10)</f>
        <v>15.208161280000004</v>
      </c>
      <c r="H99" s="15">
        <f t="shared" ref="H99:L99" si="32">(-$G$28/10)</f>
        <v>15.208161280000004</v>
      </c>
      <c r="I99" s="15">
        <f t="shared" si="32"/>
        <v>15.208161280000004</v>
      </c>
      <c r="J99" s="15">
        <f t="shared" si="32"/>
        <v>15.208161280000004</v>
      </c>
      <c r="K99" s="15">
        <f t="shared" si="32"/>
        <v>15.208161280000004</v>
      </c>
      <c r="L99" s="15">
        <f t="shared" si="32"/>
        <v>15.208161280000004</v>
      </c>
    </row>
    <row r="100" spans="1:12" x14ac:dyDescent="0.45">
      <c r="A100" t="s">
        <v>51</v>
      </c>
      <c r="H100" s="15">
        <f>-($H$28/10)</f>
        <v>15.816487731200004</v>
      </c>
      <c r="I100" s="15">
        <f t="shared" ref="I100:L100" si="33">-($H$28/10)</f>
        <v>15.816487731200004</v>
      </c>
      <c r="J100" s="15">
        <f t="shared" si="33"/>
        <v>15.816487731200004</v>
      </c>
      <c r="K100" s="15">
        <f t="shared" si="33"/>
        <v>15.816487731200004</v>
      </c>
      <c r="L100" s="15">
        <f t="shared" si="33"/>
        <v>15.816487731200004</v>
      </c>
    </row>
    <row r="101" spans="1:12" x14ac:dyDescent="0.45">
      <c r="A101" t="s">
        <v>52</v>
      </c>
      <c r="I101" s="15">
        <f>-($I$28/10)</f>
        <v>16.449147240448006</v>
      </c>
      <c r="J101" s="15">
        <f t="shared" ref="J101:L101" si="34">-($I$28/10)</f>
        <v>16.449147240448006</v>
      </c>
      <c r="K101" s="15">
        <f t="shared" si="34"/>
        <v>16.449147240448006</v>
      </c>
      <c r="L101" s="15">
        <f t="shared" si="34"/>
        <v>16.449147240448006</v>
      </c>
    </row>
    <row r="102" spans="1:12" x14ac:dyDescent="0.45">
      <c r="A102" t="s">
        <v>53</v>
      </c>
      <c r="J102" s="15">
        <f>-($J$28/10)</f>
        <v>17.107113130065926</v>
      </c>
      <c r="K102" s="15">
        <f t="shared" ref="K102:L102" si="35">-($J$28/10)</f>
        <v>17.107113130065926</v>
      </c>
      <c r="L102" s="15">
        <f t="shared" si="35"/>
        <v>17.107113130065926</v>
      </c>
    </row>
    <row r="103" spans="1:12" x14ac:dyDescent="0.45">
      <c r="A103" t="s">
        <v>54</v>
      </c>
      <c r="K103" s="15">
        <f>-($K$28/10)</f>
        <v>17.791397655268561</v>
      </c>
      <c r="L103" s="15">
        <f>-($K$28/10)</f>
        <v>17.791397655268561</v>
      </c>
    </row>
    <row r="104" spans="1:12" ht="14.65" thickBot="1" x14ac:dyDescent="0.5">
      <c r="A104" t="s">
        <v>55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17">
        <f>-($L$28/10)</f>
        <v>18.503053561479305</v>
      </c>
    </row>
    <row r="106" spans="1:12" x14ac:dyDescent="0.45">
      <c r="A106" t="s">
        <v>56</v>
      </c>
      <c r="B106">
        <f>B109-B107</f>
        <v>9.07</v>
      </c>
      <c r="C106" s="15">
        <f>SUM(C94:C104)</f>
        <v>56.330909090909088</v>
      </c>
      <c r="D106" s="15">
        <f t="shared" ref="D106:L106" si="36">SUM(D94:D104)</f>
        <v>65.517818181818186</v>
      </c>
      <c r="E106" s="15">
        <f t="shared" si="36"/>
        <v>75.245527272727273</v>
      </c>
      <c r="F106" s="15">
        <f t="shared" si="36"/>
        <v>85.535668363636375</v>
      </c>
      <c r="G106" s="15">
        <f t="shared" si="36"/>
        <v>96.410738734545461</v>
      </c>
      <c r="H106" s="15">
        <f t="shared" si="36"/>
        <v>107.89413555665455</v>
      </c>
      <c r="I106" s="15">
        <f t="shared" si="36"/>
        <v>120.01019188801163</v>
      </c>
      <c r="J106" s="15">
        <f t="shared" si="36"/>
        <v>132.78421410898667</v>
      </c>
      <c r="K106" s="15">
        <f t="shared" si="36"/>
        <v>146.24252085516432</v>
      </c>
      <c r="L106" s="15">
        <f t="shared" si="36"/>
        <v>160.41248350755271</v>
      </c>
    </row>
    <row r="107" spans="1:12" x14ac:dyDescent="0.45">
      <c r="A107" t="s">
        <v>57</v>
      </c>
      <c r="B107">
        <v>22.62</v>
      </c>
      <c r="C107">
        <v>22.78</v>
      </c>
      <c r="D107">
        <v>21.58</v>
      </c>
      <c r="E107">
        <v>20.07</v>
      </c>
      <c r="F107">
        <v>18.079999999999998</v>
      </c>
      <c r="G107">
        <v>16.059999999999999</v>
      </c>
      <c r="H107">
        <v>15</v>
      </c>
      <c r="I107">
        <v>15</v>
      </c>
      <c r="J107">
        <v>15</v>
      </c>
      <c r="K107">
        <v>15</v>
      </c>
      <c r="L107">
        <v>15</v>
      </c>
    </row>
    <row r="109" spans="1:12" x14ac:dyDescent="0.45">
      <c r="A109" t="s">
        <v>58</v>
      </c>
      <c r="B109">
        <v>31.69</v>
      </c>
      <c r="C109" s="15">
        <f>C106+C107</f>
        <v>79.11090909090909</v>
      </c>
      <c r="D109" s="15">
        <f t="shared" ref="D109:L109" si="37">D106+D107</f>
        <v>87.097818181818184</v>
      </c>
      <c r="E109" s="15">
        <f t="shared" si="37"/>
        <v>95.31552727272728</v>
      </c>
      <c r="F109" s="15">
        <f t="shared" si="37"/>
        <v>103.61566836363637</v>
      </c>
      <c r="G109" s="15">
        <f t="shared" si="37"/>
        <v>112.47073873454546</v>
      </c>
      <c r="H109" s="15">
        <f t="shared" si="37"/>
        <v>122.89413555665455</v>
      </c>
      <c r="I109" s="15">
        <f t="shared" si="37"/>
        <v>135.01019188801163</v>
      </c>
      <c r="J109" s="15">
        <f t="shared" si="37"/>
        <v>147.78421410898667</v>
      </c>
      <c r="K109" s="15">
        <f t="shared" si="37"/>
        <v>161.24252085516432</v>
      </c>
      <c r="L109" s="15">
        <f t="shared" si="37"/>
        <v>175.41248350755271</v>
      </c>
    </row>
  </sheetData>
  <mergeCells count="12">
    <mergeCell ref="A47:Q47"/>
    <mergeCell ref="A1:Q1"/>
    <mergeCell ref="A2:Q2"/>
    <mergeCell ref="A3:Q3"/>
    <mergeCell ref="A4:Q4"/>
    <mergeCell ref="A46:Q46"/>
    <mergeCell ref="A88:Q88"/>
    <mergeCell ref="A89:Q89"/>
    <mergeCell ref="A90:Q90"/>
    <mergeCell ref="A91:Q91"/>
    <mergeCell ref="A48:Q48"/>
    <mergeCell ref="A49:Q49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9C84-C2DE-4E0E-ADD4-301BC61DC549}">
  <sheetPr codeName="Sheet2"/>
  <dimension ref="A2:F20"/>
  <sheetViews>
    <sheetView tabSelected="1" workbookViewId="0">
      <selection activeCell="C6" sqref="C6"/>
    </sheetView>
  </sheetViews>
  <sheetFormatPr defaultRowHeight="14.25" x14ac:dyDescent="0.45"/>
  <cols>
    <col min="1" max="1" width="19" customWidth="1"/>
    <col min="2" max="2" width="11" customWidth="1"/>
    <col min="5" max="5" width="14.06640625" customWidth="1"/>
    <col min="6" max="6" width="10.33203125" customWidth="1"/>
  </cols>
  <sheetData>
    <row r="2" spans="1:6" x14ac:dyDescent="0.45">
      <c r="A2" t="s">
        <v>62</v>
      </c>
      <c r="B2">
        <v>1641</v>
      </c>
      <c r="E2" t="s">
        <v>65</v>
      </c>
      <c r="F2">
        <v>120.54</v>
      </c>
    </row>
    <row r="3" spans="1:6" x14ac:dyDescent="0.45">
      <c r="A3" t="s">
        <v>63</v>
      </c>
      <c r="B3">
        <v>23.33</v>
      </c>
      <c r="E3" t="s">
        <v>66</v>
      </c>
      <c r="F3">
        <v>61.7</v>
      </c>
    </row>
    <row r="4" spans="1:6" x14ac:dyDescent="0.45">
      <c r="A4" t="s">
        <v>64</v>
      </c>
      <c r="B4">
        <v>1713.3</v>
      </c>
      <c r="E4" t="s">
        <v>72</v>
      </c>
      <c r="F4">
        <f>(F2*F3)</f>
        <v>7437.3180000000011</v>
      </c>
    </row>
    <row r="6" spans="1:6" x14ac:dyDescent="0.45">
      <c r="A6" t="s">
        <v>73</v>
      </c>
      <c r="B6" s="8">
        <f>B4/(B4+F4)</f>
        <v>0.18723325572108898</v>
      </c>
    </row>
    <row r="9" spans="1:6" x14ac:dyDescent="0.45">
      <c r="B9">
        <v>2023</v>
      </c>
      <c r="D9">
        <v>2022</v>
      </c>
    </row>
    <row r="10" spans="1:6" x14ac:dyDescent="0.45">
      <c r="A10" t="s">
        <v>67</v>
      </c>
      <c r="B10">
        <v>910.7</v>
      </c>
      <c r="D10">
        <v>1025.98</v>
      </c>
    </row>
    <row r="11" spans="1:6" x14ac:dyDescent="0.45">
      <c r="A11" t="s">
        <v>68</v>
      </c>
      <c r="B11">
        <f>698.3-23.33-62.27</f>
        <v>612.69999999999993</v>
      </c>
      <c r="D11">
        <f>641.27-57.46-24.36</f>
        <v>559.44999999999993</v>
      </c>
    </row>
    <row r="12" spans="1:6" x14ac:dyDescent="0.45">
      <c r="A12" t="s">
        <v>69</v>
      </c>
      <c r="B12">
        <v>3733.13</v>
      </c>
      <c r="D12">
        <v>3475.82</v>
      </c>
    </row>
    <row r="13" spans="1:6" x14ac:dyDescent="0.45">
      <c r="A13" t="s">
        <v>70</v>
      </c>
      <c r="B13">
        <f>(B10-B11)+B12</f>
        <v>4031.13</v>
      </c>
      <c r="D13">
        <f>(D10-D11)+D12</f>
        <v>3942.3500000000004</v>
      </c>
    </row>
    <row r="15" spans="1:6" x14ac:dyDescent="0.45">
      <c r="A15" t="s">
        <v>14</v>
      </c>
      <c r="B15" s="22">
        <f>849+116*0.207</f>
        <v>873.01199999999994</v>
      </c>
    </row>
    <row r="16" spans="1:6" x14ac:dyDescent="0.45">
      <c r="A16" t="s">
        <v>74</v>
      </c>
      <c r="B16" s="23">
        <f>(B13+D13)/2</f>
        <v>3986.7400000000002</v>
      </c>
      <c r="D16" s="10"/>
    </row>
    <row r="17" spans="1:2" x14ac:dyDescent="0.45">
      <c r="A17" t="s">
        <v>71</v>
      </c>
      <c r="B17" s="8">
        <f>B15/B16</f>
        <v>0.21897891510356829</v>
      </c>
    </row>
    <row r="19" spans="1:2" x14ac:dyDescent="0.45">
      <c r="A19" t="s">
        <v>76</v>
      </c>
      <c r="B19" s="15">
        <f>DCF!B8/Calculations!B16</f>
        <v>0.99388221955783418</v>
      </c>
    </row>
    <row r="20" spans="1:2" x14ac:dyDescent="0.45">
      <c r="A20" t="s">
        <v>77</v>
      </c>
      <c r="B20" s="13">
        <f>B15/DCF!B8</f>
        <v>0.22032682625209787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Jovin John</dc:creator>
  <cp:lastModifiedBy>Anirudh Kodali</cp:lastModifiedBy>
  <cp:lastPrinted>2024-04-24T17:10:18Z</cp:lastPrinted>
  <dcterms:created xsi:type="dcterms:W3CDTF">2024-04-20T22:12:31Z</dcterms:created>
  <dcterms:modified xsi:type="dcterms:W3CDTF">2024-04-29T16:32:06Z</dcterms:modified>
</cp:coreProperties>
</file>