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 Files\blp\data\"/>
    </mc:Choice>
  </mc:AlternateContent>
  <bookViews>
    <workbookView xWindow="10395" yWindow="-105" windowWidth="14850" windowHeight="12735"/>
  </bookViews>
  <sheets>
    <sheet name="BIData" sheetId="2" r:id="rId1"/>
    <sheet name="ReferenceData" sheetId="3" r:id="rId2"/>
    <sheet name="Help-Reference" sheetId="4" r:id="rId3"/>
  </sheets>
  <calcPr calcId="162913"/>
</workbook>
</file>

<file path=xl/calcChain.xml><?xml version="1.0" encoding="utf-8"?>
<calcChain xmlns="http://schemas.openxmlformats.org/spreadsheetml/2006/main">
  <c r="DS117" i="3" l="1"/>
  <c r="DR117" i="3"/>
  <c r="DQ117" i="3"/>
  <c r="DP117" i="3"/>
  <c r="DO117" i="3"/>
  <c r="DN117" i="3"/>
  <c r="DM117" i="3"/>
  <c r="DL117" i="3"/>
  <c r="DK117" i="3"/>
  <c r="DJ117" i="3"/>
  <c r="DI117" i="3"/>
  <c r="DH117" i="3"/>
  <c r="DG117" i="3"/>
  <c r="DF117" i="3"/>
  <c r="DE117" i="3"/>
  <c r="DD117" i="3"/>
  <c r="DC117" i="3"/>
  <c r="DB117" i="3"/>
  <c r="DA117" i="3"/>
  <c r="CZ117" i="3"/>
  <c r="CY117" i="3"/>
  <c r="CX117" i="3"/>
  <c r="CW117" i="3"/>
  <c r="CV117" i="3"/>
  <c r="CU117" i="3"/>
  <c r="CT117" i="3"/>
  <c r="CS117" i="3"/>
  <c r="CR117" i="3"/>
  <c r="CQ117" i="3"/>
  <c r="CP117" i="3"/>
  <c r="CO117" i="3"/>
  <c r="CN117" i="3"/>
  <c r="CM117" i="3"/>
  <c r="CL117" i="3"/>
  <c r="CK117" i="3"/>
  <c r="CJ117" i="3"/>
  <c r="CI117" i="3"/>
  <c r="CH117" i="3"/>
  <c r="CG117" i="3"/>
  <c r="CF117" i="3"/>
  <c r="CE117" i="3"/>
  <c r="CD117" i="3"/>
  <c r="CC117" i="3"/>
  <c r="CB117" i="3"/>
  <c r="CA117" i="3"/>
  <c r="BZ117" i="3"/>
  <c r="BY117" i="3"/>
  <c r="BX117" i="3"/>
  <c r="BW117" i="3"/>
  <c r="BV117" i="3"/>
  <c r="BU117" i="3"/>
  <c r="BT117" i="3"/>
  <c r="BS117" i="3"/>
  <c r="BR117" i="3"/>
  <c r="BQ117" i="3"/>
  <c r="BP117" i="3"/>
  <c r="BO117" i="3"/>
  <c r="BN117" i="3"/>
  <c r="BM117" i="3"/>
  <c r="E117" i="3"/>
  <c r="D117" i="3"/>
  <c r="C117" i="3"/>
  <c r="B117" i="3"/>
  <c r="A117" i="3"/>
  <c r="DS116" i="3"/>
  <c r="DR116" i="3"/>
  <c r="DQ116" i="3"/>
  <c r="DP116" i="3"/>
  <c r="DO116" i="3"/>
  <c r="DN116" i="3"/>
  <c r="DM116" i="3"/>
  <c r="DL116" i="3"/>
  <c r="DK116" i="3"/>
  <c r="DJ116" i="3"/>
  <c r="DI116" i="3"/>
  <c r="DH116" i="3"/>
  <c r="DG116" i="3"/>
  <c r="DF116" i="3"/>
  <c r="DE116" i="3"/>
  <c r="DD116" i="3"/>
  <c r="DC116" i="3"/>
  <c r="DB116" i="3"/>
  <c r="DA116" i="3"/>
  <c r="CZ116" i="3"/>
  <c r="CY116" i="3"/>
  <c r="CX116" i="3"/>
  <c r="CW116" i="3"/>
  <c r="CV116" i="3"/>
  <c r="CU116" i="3"/>
  <c r="CT116" i="3"/>
  <c r="CS116" i="3"/>
  <c r="CR116" i="3"/>
  <c r="CQ116" i="3"/>
  <c r="CP116" i="3"/>
  <c r="CO116" i="3"/>
  <c r="CN116" i="3"/>
  <c r="CM116" i="3"/>
  <c r="CL116" i="3"/>
  <c r="CK116" i="3"/>
  <c r="CJ116" i="3"/>
  <c r="CI116" i="3"/>
  <c r="CH116" i="3"/>
  <c r="CG116" i="3"/>
  <c r="CF116" i="3"/>
  <c r="CE116" i="3"/>
  <c r="CD116" i="3"/>
  <c r="CC116" i="3"/>
  <c r="CB116" i="3"/>
  <c r="CA116" i="3"/>
  <c r="BZ116" i="3"/>
  <c r="BY116" i="3"/>
  <c r="BX116" i="3"/>
  <c r="BW116" i="3"/>
  <c r="BV116" i="3"/>
  <c r="BU116" i="3"/>
  <c r="BT116" i="3"/>
  <c r="BS116" i="3"/>
  <c r="BR116" i="3"/>
  <c r="BQ116" i="3"/>
  <c r="BP116" i="3"/>
  <c r="BO116" i="3"/>
  <c r="BN116" i="3"/>
  <c r="BM116" i="3"/>
  <c r="A116" i="3"/>
  <c r="DS115" i="3"/>
  <c r="DR115" i="3"/>
  <c r="DQ115" i="3"/>
  <c r="DP115" i="3"/>
  <c r="DO115" i="3"/>
  <c r="DN115" i="3"/>
  <c r="DM115" i="3"/>
  <c r="DL115" i="3"/>
  <c r="DK115" i="3"/>
  <c r="DJ115" i="3"/>
  <c r="DI115" i="3"/>
  <c r="DH115" i="3"/>
  <c r="DG115" i="3"/>
  <c r="DF115" i="3"/>
  <c r="DE115" i="3"/>
  <c r="DD115" i="3"/>
  <c r="DC115" i="3"/>
  <c r="DB115" i="3"/>
  <c r="DA115" i="3"/>
  <c r="CZ115" i="3"/>
  <c r="CY115" i="3"/>
  <c r="CX115" i="3"/>
  <c r="CW115" i="3"/>
  <c r="CV115" i="3"/>
  <c r="CU115" i="3"/>
  <c r="CT115" i="3"/>
  <c r="CS115" i="3"/>
  <c r="CR115" i="3"/>
  <c r="CQ115" i="3"/>
  <c r="CP115" i="3"/>
  <c r="CO115" i="3"/>
  <c r="CN115" i="3"/>
  <c r="CM115" i="3"/>
  <c r="CL115" i="3"/>
  <c r="CK115" i="3"/>
  <c r="CJ115" i="3"/>
  <c r="CI115" i="3"/>
  <c r="CH115" i="3"/>
  <c r="CG115" i="3"/>
  <c r="CF115" i="3"/>
  <c r="CE115" i="3"/>
  <c r="CD115" i="3"/>
  <c r="CC115" i="3"/>
  <c r="CB115" i="3"/>
  <c r="CA115" i="3"/>
  <c r="BZ115" i="3"/>
  <c r="BY115" i="3"/>
  <c r="BX115" i="3"/>
  <c r="BW115" i="3"/>
  <c r="BV115" i="3"/>
  <c r="BU115" i="3"/>
  <c r="BT115" i="3"/>
  <c r="BS115" i="3"/>
  <c r="BR115" i="3"/>
  <c r="BQ115" i="3"/>
  <c r="BP115" i="3"/>
  <c r="BO115" i="3"/>
  <c r="BN115" i="3"/>
  <c r="BM115" i="3"/>
  <c r="A115" i="3"/>
  <c r="DS114" i="3"/>
  <c r="DR114" i="3"/>
  <c r="DQ114" i="3"/>
  <c r="DP114" i="3"/>
  <c r="DO114" i="3"/>
  <c r="DN114" i="3"/>
  <c r="DM114" i="3"/>
  <c r="DL114" i="3"/>
  <c r="DK114" i="3"/>
  <c r="DJ114" i="3"/>
  <c r="DI114" i="3"/>
  <c r="DH114" i="3"/>
  <c r="DG114" i="3"/>
  <c r="DF114" i="3"/>
  <c r="DE114" i="3"/>
  <c r="DD114" i="3"/>
  <c r="DC114" i="3"/>
  <c r="DB114" i="3"/>
  <c r="DA114" i="3"/>
  <c r="CZ114" i="3"/>
  <c r="CY114" i="3"/>
  <c r="CX114" i="3"/>
  <c r="CW114" i="3"/>
  <c r="CV114" i="3"/>
  <c r="CU114" i="3"/>
  <c r="CT114" i="3"/>
  <c r="CS114" i="3"/>
  <c r="CR114" i="3"/>
  <c r="CQ114" i="3"/>
  <c r="CP114" i="3"/>
  <c r="CO114" i="3"/>
  <c r="CN114" i="3"/>
  <c r="CM114" i="3"/>
  <c r="CL114" i="3"/>
  <c r="CK114" i="3"/>
  <c r="CJ114" i="3"/>
  <c r="CI114" i="3"/>
  <c r="CH114" i="3"/>
  <c r="CG114" i="3"/>
  <c r="CF114" i="3"/>
  <c r="CE114" i="3"/>
  <c r="CD114" i="3"/>
  <c r="CC114" i="3"/>
  <c r="CB114" i="3"/>
  <c r="CA114" i="3"/>
  <c r="BZ114" i="3"/>
  <c r="BY114" i="3"/>
  <c r="BX114" i="3"/>
  <c r="BW114" i="3"/>
  <c r="BV114" i="3"/>
  <c r="BU114" i="3"/>
  <c r="BT114" i="3"/>
  <c r="BS114" i="3"/>
  <c r="BR114" i="3"/>
  <c r="BQ114" i="3"/>
  <c r="BP114" i="3"/>
  <c r="BO114" i="3"/>
  <c r="BN114" i="3"/>
  <c r="BM114" i="3"/>
  <c r="A114" i="3"/>
  <c r="DS113" i="3"/>
  <c r="DR113" i="3"/>
  <c r="DQ113" i="3"/>
  <c r="DP113" i="3"/>
  <c r="DO113" i="3"/>
  <c r="DN113" i="3"/>
  <c r="DM113" i="3"/>
  <c r="DL113" i="3"/>
  <c r="DK113" i="3"/>
  <c r="DJ113" i="3"/>
  <c r="DI113" i="3"/>
  <c r="DH113" i="3"/>
  <c r="DG113" i="3"/>
  <c r="DF113" i="3"/>
  <c r="DE113" i="3"/>
  <c r="DD113" i="3"/>
  <c r="DC113" i="3"/>
  <c r="DB113" i="3"/>
  <c r="DA113" i="3"/>
  <c r="CZ113" i="3"/>
  <c r="CY113" i="3"/>
  <c r="CX113" i="3"/>
  <c r="CW113" i="3"/>
  <c r="CV113" i="3"/>
  <c r="CU113" i="3"/>
  <c r="CT113" i="3"/>
  <c r="CS113" i="3"/>
  <c r="CR113" i="3"/>
  <c r="CQ113" i="3"/>
  <c r="CP113" i="3"/>
  <c r="CO113" i="3"/>
  <c r="CN113" i="3"/>
  <c r="CM113" i="3"/>
  <c r="CL113" i="3"/>
  <c r="CK113" i="3"/>
  <c r="CJ113" i="3"/>
  <c r="CI113" i="3"/>
  <c r="CH113" i="3"/>
  <c r="CG113" i="3"/>
  <c r="CF113" i="3"/>
  <c r="CE113" i="3"/>
  <c r="CD113" i="3"/>
  <c r="CC113" i="3"/>
  <c r="CB113" i="3"/>
  <c r="CA113" i="3"/>
  <c r="BZ113" i="3"/>
  <c r="BY113" i="3"/>
  <c r="BX113" i="3"/>
  <c r="BW113" i="3"/>
  <c r="BV113" i="3"/>
  <c r="BU113" i="3"/>
  <c r="BT113" i="3"/>
  <c r="BS113" i="3"/>
  <c r="BR113" i="3"/>
  <c r="BQ113" i="3"/>
  <c r="BP113" i="3"/>
  <c r="BO113" i="3"/>
  <c r="BN113" i="3"/>
  <c r="BM113" i="3"/>
  <c r="A113" i="3"/>
  <c r="DS112" i="3"/>
  <c r="DR112" i="3"/>
  <c r="DQ112" i="3"/>
  <c r="DP112" i="3"/>
  <c r="DO112" i="3"/>
  <c r="DN112" i="3"/>
  <c r="DM112" i="3"/>
  <c r="DL112" i="3"/>
  <c r="DK112" i="3"/>
  <c r="DJ112" i="3"/>
  <c r="DI112" i="3"/>
  <c r="DH112" i="3"/>
  <c r="DG112" i="3"/>
  <c r="DF112" i="3"/>
  <c r="DE112" i="3"/>
  <c r="DD112" i="3"/>
  <c r="DC112" i="3"/>
  <c r="DB112" i="3"/>
  <c r="DA112" i="3"/>
  <c r="CZ112" i="3"/>
  <c r="CY112" i="3"/>
  <c r="CX112" i="3"/>
  <c r="CW112" i="3"/>
  <c r="CV112" i="3"/>
  <c r="CU112" i="3"/>
  <c r="CT112" i="3"/>
  <c r="CS112" i="3"/>
  <c r="CR112" i="3"/>
  <c r="CQ112" i="3"/>
  <c r="CP112" i="3"/>
  <c r="CO112" i="3"/>
  <c r="CN112" i="3"/>
  <c r="CM112" i="3"/>
  <c r="CL112" i="3"/>
  <c r="CK112" i="3"/>
  <c r="CJ112" i="3"/>
  <c r="CI112" i="3"/>
  <c r="CH112" i="3"/>
  <c r="CG112" i="3"/>
  <c r="CF112" i="3"/>
  <c r="CE112" i="3"/>
  <c r="CD112" i="3"/>
  <c r="CC112" i="3"/>
  <c r="CB112" i="3"/>
  <c r="CA112" i="3"/>
  <c r="BZ112" i="3"/>
  <c r="BY112" i="3"/>
  <c r="BX112" i="3"/>
  <c r="BW112" i="3"/>
  <c r="BV112" i="3"/>
  <c r="BU112" i="3"/>
  <c r="BT112" i="3"/>
  <c r="BS112" i="3"/>
  <c r="BR112" i="3"/>
  <c r="BQ112" i="3"/>
  <c r="BP112" i="3"/>
  <c r="BO112" i="3"/>
  <c r="BN112" i="3"/>
  <c r="BM112" i="3"/>
  <c r="A112" i="3"/>
  <c r="DS111" i="3"/>
  <c r="DR111" i="3"/>
  <c r="DQ111" i="3"/>
  <c r="DP111" i="3"/>
  <c r="DO111" i="3"/>
  <c r="DN111" i="3"/>
  <c r="DM111" i="3"/>
  <c r="DL111" i="3"/>
  <c r="DK111" i="3"/>
  <c r="DJ111" i="3"/>
  <c r="DI111" i="3"/>
  <c r="DH111" i="3"/>
  <c r="DG111" i="3"/>
  <c r="DF111" i="3"/>
  <c r="DE111" i="3"/>
  <c r="DD111" i="3"/>
  <c r="DC111" i="3"/>
  <c r="DB111" i="3"/>
  <c r="DA111" i="3"/>
  <c r="CZ111" i="3"/>
  <c r="CY111" i="3"/>
  <c r="CX111" i="3"/>
  <c r="CW111" i="3"/>
  <c r="CV111" i="3"/>
  <c r="CU111" i="3"/>
  <c r="CT111" i="3"/>
  <c r="CS111" i="3"/>
  <c r="CR111" i="3"/>
  <c r="CQ111" i="3"/>
  <c r="CP111" i="3"/>
  <c r="CO111" i="3"/>
  <c r="CN111" i="3"/>
  <c r="CM111" i="3"/>
  <c r="CL111" i="3"/>
  <c r="CK111" i="3"/>
  <c r="CJ111" i="3"/>
  <c r="CI111" i="3"/>
  <c r="CH111" i="3"/>
  <c r="CG111" i="3"/>
  <c r="CF111" i="3"/>
  <c r="CE111" i="3"/>
  <c r="CD111" i="3"/>
  <c r="CC111" i="3"/>
  <c r="CB111" i="3"/>
  <c r="CA111" i="3"/>
  <c r="BZ111" i="3"/>
  <c r="BY111" i="3"/>
  <c r="BX111" i="3"/>
  <c r="BW111" i="3"/>
  <c r="BV111" i="3"/>
  <c r="BU111" i="3"/>
  <c r="BT111" i="3"/>
  <c r="BS111" i="3"/>
  <c r="BR111" i="3"/>
  <c r="BQ111" i="3"/>
  <c r="BP111" i="3"/>
  <c r="BO111" i="3"/>
  <c r="BN111" i="3"/>
  <c r="BM111" i="3"/>
  <c r="A111" i="3"/>
  <c r="DS110" i="3"/>
  <c r="DR110" i="3"/>
  <c r="DQ110" i="3"/>
  <c r="DP110" i="3"/>
  <c r="DO110" i="3"/>
  <c r="DN110" i="3"/>
  <c r="DM110" i="3"/>
  <c r="DL110" i="3"/>
  <c r="DK110" i="3"/>
  <c r="DJ110" i="3"/>
  <c r="DI110" i="3"/>
  <c r="DH110" i="3"/>
  <c r="DG110" i="3"/>
  <c r="DF110" i="3"/>
  <c r="DE110" i="3"/>
  <c r="DD110" i="3"/>
  <c r="DC110" i="3"/>
  <c r="DB110" i="3"/>
  <c r="DA110" i="3"/>
  <c r="CZ110" i="3"/>
  <c r="CY110" i="3"/>
  <c r="CX110" i="3"/>
  <c r="CW110" i="3"/>
  <c r="CV110" i="3"/>
  <c r="CU110" i="3"/>
  <c r="CT110" i="3"/>
  <c r="CS110" i="3"/>
  <c r="CR110" i="3"/>
  <c r="CQ110" i="3"/>
  <c r="CP110" i="3"/>
  <c r="CO110" i="3"/>
  <c r="CN110" i="3"/>
  <c r="CM110" i="3"/>
  <c r="CL110" i="3"/>
  <c r="CK110" i="3"/>
  <c r="CJ110" i="3"/>
  <c r="CI110" i="3"/>
  <c r="CH110" i="3"/>
  <c r="CG110" i="3"/>
  <c r="CF110" i="3"/>
  <c r="CE110" i="3"/>
  <c r="CD110" i="3"/>
  <c r="CC110" i="3"/>
  <c r="CB110" i="3"/>
  <c r="CA110" i="3"/>
  <c r="BZ110" i="3"/>
  <c r="BY110" i="3"/>
  <c r="BX110" i="3"/>
  <c r="BW110" i="3"/>
  <c r="BV110" i="3"/>
  <c r="BU110" i="3"/>
  <c r="BT110" i="3"/>
  <c r="BS110" i="3"/>
  <c r="BR110" i="3"/>
  <c r="BQ110" i="3"/>
  <c r="BP110" i="3"/>
  <c r="BO110" i="3"/>
  <c r="BN110" i="3"/>
  <c r="BM110" i="3"/>
  <c r="A110" i="3"/>
  <c r="DS109" i="3"/>
  <c r="DR109" i="3"/>
  <c r="DQ109" i="3"/>
  <c r="DP109" i="3"/>
  <c r="DO109" i="3"/>
  <c r="DN109" i="3"/>
  <c r="DM109" i="3"/>
  <c r="DL109" i="3"/>
  <c r="DK109" i="3"/>
  <c r="DJ109" i="3"/>
  <c r="DI109" i="3"/>
  <c r="DH109" i="3"/>
  <c r="DG109" i="3"/>
  <c r="DF109" i="3"/>
  <c r="DE109" i="3"/>
  <c r="DD109" i="3"/>
  <c r="DC109" i="3"/>
  <c r="DB109" i="3"/>
  <c r="DA109" i="3"/>
  <c r="CZ109" i="3"/>
  <c r="CY109" i="3"/>
  <c r="CX109" i="3"/>
  <c r="CW109" i="3"/>
  <c r="CV109" i="3"/>
  <c r="CU109" i="3"/>
  <c r="CT109" i="3"/>
  <c r="CS109" i="3"/>
  <c r="CR109" i="3"/>
  <c r="CQ109" i="3"/>
  <c r="CP109" i="3"/>
  <c r="CO109" i="3"/>
  <c r="CN109" i="3"/>
  <c r="CM109" i="3"/>
  <c r="CL109" i="3"/>
  <c r="CK109" i="3"/>
  <c r="CJ109" i="3"/>
  <c r="CI109" i="3"/>
  <c r="CH109" i="3"/>
  <c r="CG109" i="3"/>
  <c r="CF109" i="3"/>
  <c r="CE109" i="3"/>
  <c r="CD109" i="3"/>
  <c r="CC109" i="3"/>
  <c r="CB109" i="3"/>
  <c r="CA109" i="3"/>
  <c r="BZ109" i="3"/>
  <c r="BY109" i="3"/>
  <c r="BX109" i="3"/>
  <c r="BW109" i="3"/>
  <c r="BV109" i="3"/>
  <c r="BU109" i="3"/>
  <c r="BT109" i="3"/>
  <c r="BS109" i="3"/>
  <c r="BR109" i="3"/>
  <c r="BQ109" i="3"/>
  <c r="BP109" i="3"/>
  <c r="BO109" i="3"/>
  <c r="BN109" i="3"/>
  <c r="BM109" i="3"/>
  <c r="A109" i="3"/>
  <c r="DS108" i="3"/>
  <c r="DR108" i="3"/>
  <c r="DQ108" i="3"/>
  <c r="DP108" i="3"/>
  <c r="DO108" i="3"/>
  <c r="DN108" i="3"/>
  <c r="DM108" i="3"/>
  <c r="DL108" i="3"/>
  <c r="DK108" i="3"/>
  <c r="DJ108" i="3"/>
  <c r="DI108" i="3"/>
  <c r="DH108" i="3"/>
  <c r="DG108" i="3"/>
  <c r="DF108" i="3"/>
  <c r="DE108" i="3"/>
  <c r="DD108" i="3"/>
  <c r="DC108" i="3"/>
  <c r="DB108" i="3"/>
  <c r="DA108" i="3"/>
  <c r="CZ108" i="3"/>
  <c r="CY108" i="3"/>
  <c r="CX108" i="3"/>
  <c r="CW108" i="3"/>
  <c r="CV108" i="3"/>
  <c r="CU108" i="3"/>
  <c r="CT108" i="3"/>
  <c r="CS108" i="3"/>
  <c r="CR108" i="3"/>
  <c r="CQ108" i="3"/>
  <c r="CP108" i="3"/>
  <c r="CO108" i="3"/>
  <c r="CN108" i="3"/>
  <c r="CM108" i="3"/>
  <c r="CL108" i="3"/>
  <c r="CK108" i="3"/>
  <c r="CJ108" i="3"/>
  <c r="CI108" i="3"/>
  <c r="CH108" i="3"/>
  <c r="CG108" i="3"/>
  <c r="CF108" i="3"/>
  <c r="CE108" i="3"/>
  <c r="CD108" i="3"/>
  <c r="CC108" i="3"/>
  <c r="CB108" i="3"/>
  <c r="CA108" i="3"/>
  <c r="BZ108" i="3"/>
  <c r="BY108" i="3"/>
  <c r="BX108" i="3"/>
  <c r="BW108" i="3"/>
  <c r="BV108" i="3"/>
  <c r="BU108" i="3"/>
  <c r="BT108" i="3"/>
  <c r="BS108" i="3"/>
  <c r="BR108" i="3"/>
  <c r="BQ108" i="3"/>
  <c r="BP108" i="3"/>
  <c r="BO108" i="3"/>
  <c r="BN108" i="3"/>
  <c r="BM108" i="3"/>
  <c r="A108" i="3"/>
  <c r="DS107" i="3"/>
  <c r="DR107" i="3"/>
  <c r="DQ107" i="3"/>
  <c r="DP107" i="3"/>
  <c r="DO107" i="3"/>
  <c r="DN107" i="3"/>
  <c r="DM107" i="3"/>
  <c r="DL107" i="3"/>
  <c r="DK107" i="3"/>
  <c r="DJ107" i="3"/>
  <c r="DI107" i="3"/>
  <c r="DH107" i="3"/>
  <c r="DG107" i="3"/>
  <c r="DF107" i="3"/>
  <c r="DE107" i="3"/>
  <c r="DD107" i="3"/>
  <c r="DC107" i="3"/>
  <c r="DB107" i="3"/>
  <c r="DA107" i="3"/>
  <c r="CZ107" i="3"/>
  <c r="CY107" i="3"/>
  <c r="CX107" i="3"/>
  <c r="CW107" i="3"/>
  <c r="CV107" i="3"/>
  <c r="CU107" i="3"/>
  <c r="CT107" i="3"/>
  <c r="CS107" i="3"/>
  <c r="CR107" i="3"/>
  <c r="CQ107" i="3"/>
  <c r="CP107" i="3"/>
  <c r="CO107" i="3"/>
  <c r="CN107" i="3"/>
  <c r="CM107" i="3"/>
  <c r="CL107" i="3"/>
  <c r="CK107" i="3"/>
  <c r="CJ107" i="3"/>
  <c r="CI107" i="3"/>
  <c r="CH107" i="3"/>
  <c r="CG107" i="3"/>
  <c r="CF107" i="3"/>
  <c r="CE107" i="3"/>
  <c r="CD107" i="3"/>
  <c r="CC107" i="3"/>
  <c r="CB107" i="3"/>
  <c r="CA107" i="3"/>
  <c r="BZ107" i="3"/>
  <c r="BY107" i="3"/>
  <c r="BX107" i="3"/>
  <c r="BW107" i="3"/>
  <c r="BV107" i="3"/>
  <c r="BU107" i="3"/>
  <c r="BT107" i="3"/>
  <c r="BS107" i="3"/>
  <c r="BR107" i="3"/>
  <c r="BQ107" i="3"/>
  <c r="BP107" i="3"/>
  <c r="BO107" i="3"/>
  <c r="BN107" i="3"/>
  <c r="BM107" i="3"/>
  <c r="A107" i="3"/>
  <c r="DS106" i="3"/>
  <c r="DR106" i="3"/>
  <c r="DQ106" i="3"/>
  <c r="DP106" i="3"/>
  <c r="DO106" i="3"/>
  <c r="DN106" i="3"/>
  <c r="DM106" i="3"/>
  <c r="DL106" i="3"/>
  <c r="DK106" i="3"/>
  <c r="DJ106" i="3"/>
  <c r="DI106" i="3"/>
  <c r="DH106" i="3"/>
  <c r="DG106" i="3"/>
  <c r="DF106" i="3"/>
  <c r="DE106" i="3"/>
  <c r="DD106" i="3"/>
  <c r="DC106" i="3"/>
  <c r="DB106" i="3"/>
  <c r="DA106" i="3"/>
  <c r="CZ106" i="3"/>
  <c r="CY106" i="3"/>
  <c r="CX106" i="3"/>
  <c r="CW106" i="3"/>
  <c r="CV106" i="3"/>
  <c r="CU106" i="3"/>
  <c r="CT106" i="3"/>
  <c r="CS106" i="3"/>
  <c r="CR106" i="3"/>
  <c r="CQ106" i="3"/>
  <c r="CP106" i="3"/>
  <c r="CO106" i="3"/>
  <c r="CN106" i="3"/>
  <c r="CM106" i="3"/>
  <c r="CL106" i="3"/>
  <c r="CK106" i="3"/>
  <c r="CJ106" i="3"/>
  <c r="CI106" i="3"/>
  <c r="CH106" i="3"/>
  <c r="CG106" i="3"/>
  <c r="CF106" i="3"/>
  <c r="CE106" i="3"/>
  <c r="CD106" i="3"/>
  <c r="CC106" i="3"/>
  <c r="CB106" i="3"/>
  <c r="CA106" i="3"/>
  <c r="BZ106" i="3"/>
  <c r="BY106" i="3"/>
  <c r="BX106" i="3"/>
  <c r="BW106" i="3"/>
  <c r="BV106" i="3"/>
  <c r="BU106" i="3"/>
  <c r="BT106" i="3"/>
  <c r="BS106" i="3"/>
  <c r="BR106" i="3"/>
  <c r="BQ106" i="3"/>
  <c r="BP106" i="3"/>
  <c r="BO106" i="3"/>
  <c r="BN106" i="3"/>
  <c r="BM106" i="3"/>
  <c r="A106" i="3"/>
  <c r="DS105" i="3"/>
  <c r="DR105" i="3"/>
  <c r="DQ105" i="3"/>
  <c r="DP105" i="3"/>
  <c r="DO105" i="3"/>
  <c r="DN105" i="3"/>
  <c r="DM105" i="3"/>
  <c r="DL105" i="3"/>
  <c r="DK105" i="3"/>
  <c r="DJ105" i="3"/>
  <c r="DI105" i="3"/>
  <c r="DH105" i="3"/>
  <c r="DG105" i="3"/>
  <c r="DF105" i="3"/>
  <c r="DE105" i="3"/>
  <c r="DD105" i="3"/>
  <c r="DC105" i="3"/>
  <c r="DB105" i="3"/>
  <c r="DA105" i="3"/>
  <c r="CZ105" i="3"/>
  <c r="CY105" i="3"/>
  <c r="CX105" i="3"/>
  <c r="CW105" i="3"/>
  <c r="CV105" i="3"/>
  <c r="CU105" i="3"/>
  <c r="CT105" i="3"/>
  <c r="CS105" i="3"/>
  <c r="CR105" i="3"/>
  <c r="CQ105" i="3"/>
  <c r="CP105" i="3"/>
  <c r="CO105" i="3"/>
  <c r="CN105" i="3"/>
  <c r="CM105" i="3"/>
  <c r="CL105" i="3"/>
  <c r="CK105" i="3"/>
  <c r="CJ105" i="3"/>
  <c r="CI105" i="3"/>
  <c r="CH105" i="3"/>
  <c r="CG105" i="3"/>
  <c r="CF105" i="3"/>
  <c r="CE105" i="3"/>
  <c r="CD105" i="3"/>
  <c r="CC105" i="3"/>
  <c r="CB105" i="3"/>
  <c r="CA105" i="3"/>
  <c r="BZ105" i="3"/>
  <c r="BY105" i="3"/>
  <c r="BX105" i="3"/>
  <c r="BW105" i="3"/>
  <c r="BV105" i="3"/>
  <c r="BU105" i="3"/>
  <c r="BT105" i="3"/>
  <c r="BS105" i="3"/>
  <c r="BR105" i="3"/>
  <c r="BQ105" i="3"/>
  <c r="BP105" i="3"/>
  <c r="BO105" i="3"/>
  <c r="BN105" i="3"/>
  <c r="BM105" i="3"/>
  <c r="A105" i="3"/>
  <c r="DS104" i="3"/>
  <c r="DR104" i="3"/>
  <c r="DQ104" i="3"/>
  <c r="DP104" i="3"/>
  <c r="DO104" i="3"/>
  <c r="DN104" i="3"/>
  <c r="DM104" i="3"/>
  <c r="DL104" i="3"/>
  <c r="DK104" i="3"/>
  <c r="DJ104" i="3"/>
  <c r="DI104" i="3"/>
  <c r="DH104" i="3"/>
  <c r="DG104" i="3"/>
  <c r="DF104" i="3"/>
  <c r="DE104" i="3"/>
  <c r="DD104" i="3"/>
  <c r="DC104" i="3"/>
  <c r="DB104" i="3"/>
  <c r="DA104" i="3"/>
  <c r="CZ104" i="3"/>
  <c r="CY104" i="3"/>
  <c r="CX104" i="3"/>
  <c r="CW104" i="3"/>
  <c r="CV104" i="3"/>
  <c r="CU104" i="3"/>
  <c r="CT104" i="3"/>
  <c r="CS104" i="3"/>
  <c r="CR104" i="3"/>
  <c r="CQ104" i="3"/>
  <c r="CP104" i="3"/>
  <c r="CO104" i="3"/>
  <c r="CN104" i="3"/>
  <c r="CM104" i="3"/>
  <c r="CL104" i="3"/>
  <c r="CK104" i="3"/>
  <c r="CJ104" i="3"/>
  <c r="CI104" i="3"/>
  <c r="CH104" i="3"/>
  <c r="CG104" i="3"/>
  <c r="CF104" i="3"/>
  <c r="CE104" i="3"/>
  <c r="CD104" i="3"/>
  <c r="CC104" i="3"/>
  <c r="CB104" i="3"/>
  <c r="CA104" i="3"/>
  <c r="BZ104" i="3"/>
  <c r="BY104" i="3"/>
  <c r="BX104" i="3"/>
  <c r="BW104" i="3"/>
  <c r="BV104" i="3"/>
  <c r="BU104" i="3"/>
  <c r="BT104" i="3"/>
  <c r="BS104" i="3"/>
  <c r="BR104" i="3"/>
  <c r="BQ104" i="3"/>
  <c r="BP104" i="3"/>
  <c r="BO104" i="3"/>
  <c r="BN104" i="3"/>
  <c r="BM104" i="3"/>
  <c r="A104" i="3"/>
  <c r="DS103" i="3"/>
  <c r="DR103" i="3"/>
  <c r="DQ103" i="3"/>
  <c r="DP103" i="3"/>
  <c r="DO103" i="3"/>
  <c r="DN103" i="3"/>
  <c r="DM103" i="3"/>
  <c r="DL103" i="3"/>
  <c r="DK103" i="3"/>
  <c r="DJ103" i="3"/>
  <c r="DI103" i="3"/>
  <c r="DH103" i="3"/>
  <c r="DG103" i="3"/>
  <c r="DF103" i="3"/>
  <c r="DE103" i="3"/>
  <c r="DD103" i="3"/>
  <c r="DC103" i="3"/>
  <c r="DB103" i="3"/>
  <c r="DA103" i="3"/>
  <c r="CZ103" i="3"/>
  <c r="CY103" i="3"/>
  <c r="CX103" i="3"/>
  <c r="CW103" i="3"/>
  <c r="CV103" i="3"/>
  <c r="CU103" i="3"/>
  <c r="CT103" i="3"/>
  <c r="CS103" i="3"/>
  <c r="CR103" i="3"/>
  <c r="CQ103" i="3"/>
  <c r="CP103" i="3"/>
  <c r="CO103" i="3"/>
  <c r="CN103" i="3"/>
  <c r="CM103" i="3"/>
  <c r="CL103" i="3"/>
  <c r="CK103" i="3"/>
  <c r="CJ103" i="3"/>
  <c r="CI103" i="3"/>
  <c r="CH103" i="3"/>
  <c r="CG103" i="3"/>
  <c r="CF103" i="3"/>
  <c r="CE103" i="3"/>
  <c r="CD103" i="3"/>
  <c r="CC103" i="3"/>
  <c r="CB103" i="3"/>
  <c r="CA103" i="3"/>
  <c r="BZ103" i="3"/>
  <c r="BY103" i="3"/>
  <c r="BX103" i="3"/>
  <c r="BW103" i="3"/>
  <c r="BV103" i="3"/>
  <c r="BU103" i="3"/>
  <c r="BT103" i="3"/>
  <c r="BS103" i="3"/>
  <c r="BR103" i="3"/>
  <c r="BQ103" i="3"/>
  <c r="BP103" i="3"/>
  <c r="BO103" i="3"/>
  <c r="BN103" i="3"/>
  <c r="BM103" i="3"/>
  <c r="A103" i="3"/>
  <c r="DS102" i="3"/>
  <c r="DR102" i="3"/>
  <c r="DQ102" i="3"/>
  <c r="DP102" i="3"/>
  <c r="DO102" i="3"/>
  <c r="DN102" i="3"/>
  <c r="DM102" i="3"/>
  <c r="DL102" i="3"/>
  <c r="DK102" i="3"/>
  <c r="DJ102" i="3"/>
  <c r="DI102" i="3"/>
  <c r="DH102" i="3"/>
  <c r="DG102" i="3"/>
  <c r="DF102" i="3"/>
  <c r="DE102" i="3"/>
  <c r="DD102" i="3"/>
  <c r="DC102" i="3"/>
  <c r="DB102" i="3"/>
  <c r="DA102" i="3"/>
  <c r="CZ102" i="3"/>
  <c r="CY102" i="3"/>
  <c r="CX102" i="3"/>
  <c r="CW102" i="3"/>
  <c r="CV102" i="3"/>
  <c r="CU102" i="3"/>
  <c r="CT102" i="3"/>
  <c r="CS102" i="3"/>
  <c r="CR102" i="3"/>
  <c r="CQ102" i="3"/>
  <c r="CP102" i="3"/>
  <c r="CO102" i="3"/>
  <c r="CN102" i="3"/>
  <c r="CM102" i="3"/>
  <c r="CL102" i="3"/>
  <c r="CK102" i="3"/>
  <c r="CJ102" i="3"/>
  <c r="CI102" i="3"/>
  <c r="CH102" i="3"/>
  <c r="CG102" i="3"/>
  <c r="CF102" i="3"/>
  <c r="CE102" i="3"/>
  <c r="CD102" i="3"/>
  <c r="CC102" i="3"/>
  <c r="CB102" i="3"/>
  <c r="CA102" i="3"/>
  <c r="BZ102" i="3"/>
  <c r="BY102" i="3"/>
  <c r="BX102" i="3"/>
  <c r="BW102" i="3"/>
  <c r="BV102" i="3"/>
  <c r="BU102" i="3"/>
  <c r="BT102" i="3"/>
  <c r="BS102" i="3"/>
  <c r="BR102" i="3"/>
  <c r="BQ102" i="3"/>
  <c r="BP102" i="3"/>
  <c r="BO102" i="3"/>
  <c r="BN102" i="3"/>
  <c r="BM102" i="3"/>
  <c r="A102" i="3"/>
  <c r="DS101" i="3"/>
  <c r="DR101" i="3"/>
  <c r="DQ101" i="3"/>
  <c r="DP101" i="3"/>
  <c r="DO101" i="3"/>
  <c r="DN101" i="3"/>
  <c r="DM101" i="3"/>
  <c r="DL101" i="3"/>
  <c r="DK101" i="3"/>
  <c r="DJ101" i="3"/>
  <c r="DI101" i="3"/>
  <c r="DH101" i="3"/>
  <c r="DG101" i="3"/>
  <c r="DF101" i="3"/>
  <c r="DE101" i="3"/>
  <c r="DD101" i="3"/>
  <c r="DC101" i="3"/>
  <c r="DB101" i="3"/>
  <c r="DA101" i="3"/>
  <c r="CZ101" i="3"/>
  <c r="CY101" i="3"/>
  <c r="CX101" i="3"/>
  <c r="CW101" i="3"/>
  <c r="CV101" i="3"/>
  <c r="CU101" i="3"/>
  <c r="CT101" i="3"/>
  <c r="CS101" i="3"/>
  <c r="CR101" i="3"/>
  <c r="CQ101" i="3"/>
  <c r="CP101" i="3"/>
  <c r="CO101" i="3"/>
  <c r="CN101" i="3"/>
  <c r="CM101" i="3"/>
  <c r="CL101" i="3"/>
  <c r="CK101" i="3"/>
  <c r="CJ101" i="3"/>
  <c r="CI101" i="3"/>
  <c r="CH101" i="3"/>
  <c r="CG101" i="3"/>
  <c r="CF101" i="3"/>
  <c r="CE101" i="3"/>
  <c r="CD101" i="3"/>
  <c r="CC101" i="3"/>
  <c r="CB101" i="3"/>
  <c r="CA101" i="3"/>
  <c r="BZ101" i="3"/>
  <c r="BY101" i="3"/>
  <c r="BX101" i="3"/>
  <c r="BW101" i="3"/>
  <c r="BV101" i="3"/>
  <c r="BU101" i="3"/>
  <c r="BT101" i="3"/>
  <c r="BS101" i="3"/>
  <c r="BR101" i="3"/>
  <c r="BQ101" i="3"/>
  <c r="BP101" i="3"/>
  <c r="BO101" i="3"/>
  <c r="BN101" i="3"/>
  <c r="BM101" i="3"/>
  <c r="A101" i="3"/>
  <c r="DS100" i="3"/>
  <c r="DR100" i="3"/>
  <c r="DQ100" i="3"/>
  <c r="DP100" i="3"/>
  <c r="DO100" i="3"/>
  <c r="DN100" i="3"/>
  <c r="DM100" i="3"/>
  <c r="DL100" i="3"/>
  <c r="DK100" i="3"/>
  <c r="DJ100" i="3"/>
  <c r="DI100" i="3"/>
  <c r="DH100" i="3"/>
  <c r="DG100" i="3"/>
  <c r="DF100" i="3"/>
  <c r="DE100" i="3"/>
  <c r="DD100" i="3"/>
  <c r="DC100" i="3"/>
  <c r="DB100" i="3"/>
  <c r="DA100" i="3"/>
  <c r="CZ100" i="3"/>
  <c r="CY100" i="3"/>
  <c r="CX100" i="3"/>
  <c r="CW100" i="3"/>
  <c r="CV100" i="3"/>
  <c r="CU100" i="3"/>
  <c r="CT100" i="3"/>
  <c r="CS100" i="3"/>
  <c r="CR100" i="3"/>
  <c r="CQ100" i="3"/>
  <c r="CP100" i="3"/>
  <c r="CO100" i="3"/>
  <c r="CN100" i="3"/>
  <c r="CM100" i="3"/>
  <c r="CL100" i="3"/>
  <c r="CK100" i="3"/>
  <c r="CJ100" i="3"/>
  <c r="CI100" i="3"/>
  <c r="CH100" i="3"/>
  <c r="CG100" i="3"/>
  <c r="CF100" i="3"/>
  <c r="CE100" i="3"/>
  <c r="CD100" i="3"/>
  <c r="CC100" i="3"/>
  <c r="CB100" i="3"/>
  <c r="CA100" i="3"/>
  <c r="BZ100" i="3"/>
  <c r="BY100" i="3"/>
  <c r="BX100" i="3"/>
  <c r="BW100" i="3"/>
  <c r="BV100" i="3"/>
  <c r="BU100" i="3"/>
  <c r="BT100" i="3"/>
  <c r="BS100" i="3"/>
  <c r="BR100" i="3"/>
  <c r="BQ100" i="3"/>
  <c r="BP100" i="3"/>
  <c r="BO100" i="3"/>
  <c r="BN100" i="3"/>
  <c r="BM100" i="3"/>
  <c r="BI100" i="3"/>
  <c r="BH100" i="3"/>
  <c r="BG100" i="3"/>
  <c r="BF100" i="3"/>
  <c r="BE100" i="3"/>
  <c r="BD100" i="3"/>
  <c r="BC100" i="3"/>
  <c r="BB100" i="3"/>
  <c r="BA100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A100" i="3"/>
  <c r="DS99" i="3"/>
  <c r="DR99" i="3"/>
  <c r="DQ99" i="3"/>
  <c r="DP99" i="3"/>
  <c r="DO99" i="3"/>
  <c r="DN99" i="3"/>
  <c r="DM99" i="3"/>
  <c r="DL99" i="3"/>
  <c r="DK99" i="3"/>
  <c r="DJ99" i="3"/>
  <c r="DI99" i="3"/>
  <c r="DH99" i="3"/>
  <c r="DG99" i="3"/>
  <c r="DF99" i="3"/>
  <c r="DE99" i="3"/>
  <c r="DD99" i="3"/>
  <c r="DC99" i="3"/>
  <c r="DB99" i="3"/>
  <c r="DA99" i="3"/>
  <c r="CZ99" i="3"/>
  <c r="CY99" i="3"/>
  <c r="CX99" i="3"/>
  <c r="CW99" i="3"/>
  <c r="CV99" i="3"/>
  <c r="CU99" i="3"/>
  <c r="CT99" i="3"/>
  <c r="CS99" i="3"/>
  <c r="CR99" i="3"/>
  <c r="CQ99" i="3"/>
  <c r="CP99" i="3"/>
  <c r="CO99" i="3"/>
  <c r="CN99" i="3"/>
  <c r="CM99" i="3"/>
  <c r="CL99" i="3"/>
  <c r="CK99" i="3"/>
  <c r="CJ99" i="3"/>
  <c r="CI99" i="3"/>
  <c r="CH99" i="3"/>
  <c r="CG99" i="3"/>
  <c r="CF99" i="3"/>
  <c r="CE99" i="3"/>
  <c r="CD99" i="3"/>
  <c r="CC99" i="3"/>
  <c r="CB99" i="3"/>
  <c r="CA99" i="3"/>
  <c r="BZ99" i="3"/>
  <c r="BY99" i="3"/>
  <c r="BX99" i="3"/>
  <c r="BW99" i="3"/>
  <c r="BV99" i="3"/>
  <c r="BU99" i="3"/>
  <c r="BT99" i="3"/>
  <c r="BS99" i="3"/>
  <c r="BR99" i="3"/>
  <c r="BQ99" i="3"/>
  <c r="BP99" i="3"/>
  <c r="BO99" i="3"/>
  <c r="BN99" i="3"/>
  <c r="BM99" i="3"/>
  <c r="E99" i="3"/>
  <c r="D99" i="3"/>
  <c r="C99" i="3"/>
  <c r="B99" i="3"/>
  <c r="A99" i="3"/>
  <c r="DS98" i="3"/>
  <c r="DR98" i="3"/>
  <c r="DQ98" i="3"/>
  <c r="DP98" i="3"/>
  <c r="DO98" i="3"/>
  <c r="DN98" i="3"/>
  <c r="DM98" i="3"/>
  <c r="DL98" i="3"/>
  <c r="DK98" i="3"/>
  <c r="DJ98" i="3"/>
  <c r="DI98" i="3"/>
  <c r="DH98" i="3"/>
  <c r="DG98" i="3"/>
  <c r="DF98" i="3"/>
  <c r="DE98" i="3"/>
  <c r="DD98" i="3"/>
  <c r="DC98" i="3"/>
  <c r="DB98" i="3"/>
  <c r="DA98" i="3"/>
  <c r="CZ98" i="3"/>
  <c r="CY98" i="3"/>
  <c r="CX98" i="3"/>
  <c r="CW98" i="3"/>
  <c r="CV98" i="3"/>
  <c r="CU98" i="3"/>
  <c r="CT98" i="3"/>
  <c r="CS98" i="3"/>
  <c r="CR98" i="3"/>
  <c r="CQ98" i="3"/>
  <c r="CP98" i="3"/>
  <c r="CO98" i="3"/>
  <c r="CN98" i="3"/>
  <c r="CM98" i="3"/>
  <c r="CL98" i="3"/>
  <c r="CK98" i="3"/>
  <c r="CJ98" i="3"/>
  <c r="CI98" i="3"/>
  <c r="CH98" i="3"/>
  <c r="CG98" i="3"/>
  <c r="CF98" i="3"/>
  <c r="CE98" i="3"/>
  <c r="CD98" i="3"/>
  <c r="CC98" i="3"/>
  <c r="CB98" i="3"/>
  <c r="CA98" i="3"/>
  <c r="BZ98" i="3"/>
  <c r="BY98" i="3"/>
  <c r="BX98" i="3"/>
  <c r="BW98" i="3"/>
  <c r="BV98" i="3"/>
  <c r="BU98" i="3"/>
  <c r="BT98" i="3"/>
  <c r="BS98" i="3"/>
  <c r="BR98" i="3"/>
  <c r="BQ98" i="3"/>
  <c r="BP98" i="3"/>
  <c r="BO98" i="3"/>
  <c r="BN98" i="3"/>
  <c r="BM98" i="3"/>
  <c r="E98" i="3"/>
  <c r="D98" i="3"/>
  <c r="C98" i="3"/>
  <c r="B98" i="3"/>
  <c r="A98" i="3"/>
  <c r="DS97" i="3"/>
  <c r="DR97" i="3"/>
  <c r="DQ97" i="3"/>
  <c r="DP97" i="3"/>
  <c r="DO97" i="3"/>
  <c r="DN97" i="3"/>
  <c r="DM97" i="3"/>
  <c r="DL97" i="3"/>
  <c r="DK97" i="3"/>
  <c r="DJ97" i="3"/>
  <c r="DI97" i="3"/>
  <c r="DH97" i="3"/>
  <c r="DG97" i="3"/>
  <c r="DF97" i="3"/>
  <c r="DE97" i="3"/>
  <c r="DD97" i="3"/>
  <c r="DC97" i="3"/>
  <c r="DB97" i="3"/>
  <c r="DA97" i="3"/>
  <c r="CZ97" i="3"/>
  <c r="CY97" i="3"/>
  <c r="CX97" i="3"/>
  <c r="CW97" i="3"/>
  <c r="CV97" i="3"/>
  <c r="CU97" i="3"/>
  <c r="CT97" i="3"/>
  <c r="CS97" i="3"/>
  <c r="CR97" i="3"/>
  <c r="CQ97" i="3"/>
  <c r="CP97" i="3"/>
  <c r="CO97" i="3"/>
  <c r="CN97" i="3"/>
  <c r="CM97" i="3"/>
  <c r="CL97" i="3"/>
  <c r="CK97" i="3"/>
  <c r="CJ97" i="3"/>
  <c r="CI97" i="3"/>
  <c r="CH97" i="3"/>
  <c r="CG97" i="3"/>
  <c r="CF97" i="3"/>
  <c r="CE97" i="3"/>
  <c r="CD97" i="3"/>
  <c r="CC97" i="3"/>
  <c r="CB97" i="3"/>
  <c r="CA97" i="3"/>
  <c r="BZ97" i="3"/>
  <c r="BY97" i="3"/>
  <c r="BX97" i="3"/>
  <c r="BW97" i="3"/>
  <c r="BV97" i="3"/>
  <c r="BU97" i="3"/>
  <c r="BT97" i="3"/>
  <c r="BS97" i="3"/>
  <c r="BR97" i="3"/>
  <c r="BQ97" i="3"/>
  <c r="BP97" i="3"/>
  <c r="BO97" i="3"/>
  <c r="BN97" i="3"/>
  <c r="BM97" i="3"/>
  <c r="E97" i="3"/>
  <c r="D97" i="3"/>
  <c r="C97" i="3"/>
  <c r="A97" i="3"/>
  <c r="DS96" i="3"/>
  <c r="DR96" i="3"/>
  <c r="DQ96" i="3"/>
  <c r="DP96" i="3"/>
  <c r="DO96" i="3"/>
  <c r="DN96" i="3"/>
  <c r="DM96" i="3"/>
  <c r="DL96" i="3"/>
  <c r="DK96" i="3"/>
  <c r="DJ96" i="3"/>
  <c r="DI96" i="3"/>
  <c r="DH96" i="3"/>
  <c r="DG96" i="3"/>
  <c r="DF96" i="3"/>
  <c r="DE96" i="3"/>
  <c r="DD96" i="3"/>
  <c r="DC96" i="3"/>
  <c r="DB96" i="3"/>
  <c r="DA96" i="3"/>
  <c r="CZ96" i="3"/>
  <c r="CY96" i="3"/>
  <c r="CX96" i="3"/>
  <c r="CW96" i="3"/>
  <c r="CV96" i="3"/>
  <c r="CU96" i="3"/>
  <c r="CT96" i="3"/>
  <c r="CS96" i="3"/>
  <c r="CR96" i="3"/>
  <c r="CQ96" i="3"/>
  <c r="CP96" i="3"/>
  <c r="CO96" i="3"/>
  <c r="CN96" i="3"/>
  <c r="CM96" i="3"/>
  <c r="CL96" i="3"/>
  <c r="CK96" i="3"/>
  <c r="CJ96" i="3"/>
  <c r="CI96" i="3"/>
  <c r="CH96" i="3"/>
  <c r="CG96" i="3"/>
  <c r="CF96" i="3"/>
  <c r="CE96" i="3"/>
  <c r="CD96" i="3"/>
  <c r="CC96" i="3"/>
  <c r="CB96" i="3"/>
  <c r="CA96" i="3"/>
  <c r="BZ96" i="3"/>
  <c r="BY96" i="3"/>
  <c r="BX96" i="3"/>
  <c r="BW96" i="3"/>
  <c r="BV96" i="3"/>
  <c r="BU96" i="3"/>
  <c r="BT96" i="3"/>
  <c r="BS96" i="3"/>
  <c r="BR96" i="3"/>
  <c r="BQ96" i="3"/>
  <c r="BP96" i="3"/>
  <c r="BO96" i="3"/>
  <c r="BN96" i="3"/>
  <c r="BM96" i="3"/>
  <c r="E96" i="3"/>
  <c r="D96" i="3"/>
  <c r="C96" i="3"/>
  <c r="B96" i="3"/>
  <c r="A96" i="3"/>
  <c r="DS95" i="3"/>
  <c r="DR95" i="3"/>
  <c r="DQ95" i="3"/>
  <c r="DP95" i="3"/>
  <c r="DO95" i="3"/>
  <c r="DN95" i="3"/>
  <c r="DM95" i="3"/>
  <c r="DL95" i="3"/>
  <c r="DK95" i="3"/>
  <c r="DJ95" i="3"/>
  <c r="DI95" i="3"/>
  <c r="DH95" i="3"/>
  <c r="DG95" i="3"/>
  <c r="DF95" i="3"/>
  <c r="DE95" i="3"/>
  <c r="DD95" i="3"/>
  <c r="DC95" i="3"/>
  <c r="DB95" i="3"/>
  <c r="DA95" i="3"/>
  <c r="CZ95" i="3"/>
  <c r="CY95" i="3"/>
  <c r="CX95" i="3"/>
  <c r="CW95" i="3"/>
  <c r="CV95" i="3"/>
  <c r="CU95" i="3"/>
  <c r="CT95" i="3"/>
  <c r="CS95" i="3"/>
  <c r="CR95" i="3"/>
  <c r="CQ95" i="3"/>
  <c r="CP95" i="3"/>
  <c r="CO95" i="3"/>
  <c r="CN95" i="3"/>
  <c r="CM95" i="3"/>
  <c r="CL95" i="3"/>
  <c r="CK95" i="3"/>
  <c r="CJ95" i="3"/>
  <c r="CI95" i="3"/>
  <c r="CH95" i="3"/>
  <c r="CG95" i="3"/>
  <c r="CF95" i="3"/>
  <c r="CE95" i="3"/>
  <c r="CD95" i="3"/>
  <c r="CC95" i="3"/>
  <c r="CB95" i="3"/>
  <c r="CA95" i="3"/>
  <c r="BZ95" i="3"/>
  <c r="BY95" i="3"/>
  <c r="BX95" i="3"/>
  <c r="BW95" i="3"/>
  <c r="BV95" i="3"/>
  <c r="BU95" i="3"/>
  <c r="BT95" i="3"/>
  <c r="BS95" i="3"/>
  <c r="BR95" i="3"/>
  <c r="BQ95" i="3"/>
  <c r="BP95" i="3"/>
  <c r="BO95" i="3"/>
  <c r="BN95" i="3"/>
  <c r="BM95" i="3"/>
  <c r="A95" i="3"/>
  <c r="DS94" i="3"/>
  <c r="DR94" i="3"/>
  <c r="DQ94" i="3"/>
  <c r="DP94" i="3"/>
  <c r="DO94" i="3"/>
  <c r="DN94" i="3"/>
  <c r="DM94" i="3"/>
  <c r="DL94" i="3"/>
  <c r="DK94" i="3"/>
  <c r="DJ94" i="3"/>
  <c r="DI94" i="3"/>
  <c r="DH94" i="3"/>
  <c r="DG94" i="3"/>
  <c r="DF94" i="3"/>
  <c r="DE94" i="3"/>
  <c r="DD94" i="3"/>
  <c r="DC94" i="3"/>
  <c r="DB94" i="3"/>
  <c r="DA94" i="3"/>
  <c r="CZ94" i="3"/>
  <c r="CY94" i="3"/>
  <c r="CX94" i="3"/>
  <c r="CW94" i="3"/>
  <c r="CV94" i="3"/>
  <c r="CU94" i="3"/>
  <c r="CT94" i="3"/>
  <c r="CS94" i="3"/>
  <c r="CR94" i="3"/>
  <c r="CQ94" i="3"/>
  <c r="CP94" i="3"/>
  <c r="CO94" i="3"/>
  <c r="CN94" i="3"/>
  <c r="CM94" i="3"/>
  <c r="CL94" i="3"/>
  <c r="CK94" i="3"/>
  <c r="CJ94" i="3"/>
  <c r="CI94" i="3"/>
  <c r="CH94" i="3"/>
  <c r="CG94" i="3"/>
  <c r="CF94" i="3"/>
  <c r="CE94" i="3"/>
  <c r="CD94" i="3"/>
  <c r="CC94" i="3"/>
  <c r="CB94" i="3"/>
  <c r="CA94" i="3"/>
  <c r="BZ94" i="3"/>
  <c r="BY94" i="3"/>
  <c r="BX94" i="3"/>
  <c r="BW94" i="3"/>
  <c r="BV94" i="3"/>
  <c r="BU94" i="3"/>
  <c r="BT94" i="3"/>
  <c r="BS94" i="3"/>
  <c r="BR94" i="3"/>
  <c r="BQ94" i="3"/>
  <c r="BP94" i="3"/>
  <c r="BO94" i="3"/>
  <c r="BN94" i="3"/>
  <c r="BM94" i="3"/>
  <c r="E94" i="3"/>
  <c r="D94" i="3"/>
  <c r="C94" i="3"/>
  <c r="B94" i="3"/>
  <c r="A94" i="3"/>
  <c r="DS93" i="3"/>
  <c r="DR93" i="3"/>
  <c r="DQ93" i="3"/>
  <c r="DP93" i="3"/>
  <c r="DO93" i="3"/>
  <c r="DN93" i="3"/>
  <c r="DM93" i="3"/>
  <c r="DL93" i="3"/>
  <c r="DK93" i="3"/>
  <c r="DJ93" i="3"/>
  <c r="DI93" i="3"/>
  <c r="DH93" i="3"/>
  <c r="DG93" i="3"/>
  <c r="DF93" i="3"/>
  <c r="DE93" i="3"/>
  <c r="DD93" i="3"/>
  <c r="DC93" i="3"/>
  <c r="DB93" i="3"/>
  <c r="DA93" i="3"/>
  <c r="CZ93" i="3"/>
  <c r="CY93" i="3"/>
  <c r="CX93" i="3"/>
  <c r="CW93" i="3"/>
  <c r="CV93" i="3"/>
  <c r="CU93" i="3"/>
  <c r="CT93" i="3"/>
  <c r="CS93" i="3"/>
  <c r="CR93" i="3"/>
  <c r="CQ93" i="3"/>
  <c r="CP93" i="3"/>
  <c r="CO93" i="3"/>
  <c r="CN93" i="3"/>
  <c r="CM93" i="3"/>
  <c r="CL93" i="3"/>
  <c r="CK93" i="3"/>
  <c r="CJ93" i="3"/>
  <c r="CI93" i="3"/>
  <c r="CH93" i="3"/>
  <c r="CG93" i="3"/>
  <c r="CF93" i="3"/>
  <c r="CE93" i="3"/>
  <c r="CD93" i="3"/>
  <c r="CC93" i="3"/>
  <c r="CB93" i="3"/>
  <c r="CA93" i="3"/>
  <c r="BZ93" i="3"/>
  <c r="BY93" i="3"/>
  <c r="BX93" i="3"/>
  <c r="BW93" i="3"/>
  <c r="BV93" i="3"/>
  <c r="BU93" i="3"/>
  <c r="BT93" i="3"/>
  <c r="BS93" i="3"/>
  <c r="BR93" i="3"/>
  <c r="BQ93" i="3"/>
  <c r="BP93" i="3"/>
  <c r="BO93" i="3"/>
  <c r="BN93" i="3"/>
  <c r="BM93" i="3"/>
  <c r="E93" i="3"/>
  <c r="D93" i="3"/>
  <c r="C93" i="3"/>
  <c r="B93" i="3"/>
  <c r="A93" i="3"/>
  <c r="DS92" i="3"/>
  <c r="DR92" i="3"/>
  <c r="DQ92" i="3"/>
  <c r="DP92" i="3"/>
  <c r="DO92" i="3"/>
  <c r="DN92" i="3"/>
  <c r="DM92" i="3"/>
  <c r="DL92" i="3"/>
  <c r="DK92" i="3"/>
  <c r="DJ92" i="3"/>
  <c r="DI92" i="3"/>
  <c r="DH92" i="3"/>
  <c r="DG92" i="3"/>
  <c r="DF92" i="3"/>
  <c r="DE92" i="3"/>
  <c r="DD92" i="3"/>
  <c r="DC92" i="3"/>
  <c r="DB92" i="3"/>
  <c r="DA92" i="3"/>
  <c r="CZ92" i="3"/>
  <c r="CY92" i="3"/>
  <c r="CX92" i="3"/>
  <c r="CW92" i="3"/>
  <c r="CV92" i="3"/>
  <c r="CU92" i="3"/>
  <c r="CT92" i="3"/>
  <c r="CS92" i="3"/>
  <c r="CR92" i="3"/>
  <c r="CQ92" i="3"/>
  <c r="CP92" i="3"/>
  <c r="CO92" i="3"/>
  <c r="CN92" i="3"/>
  <c r="CM92" i="3"/>
  <c r="CL92" i="3"/>
  <c r="CK92" i="3"/>
  <c r="CJ92" i="3"/>
  <c r="CI92" i="3"/>
  <c r="CH92" i="3"/>
  <c r="CG92" i="3"/>
  <c r="CF92" i="3"/>
  <c r="CE92" i="3"/>
  <c r="CD92" i="3"/>
  <c r="CC92" i="3"/>
  <c r="CB92" i="3"/>
  <c r="CA92" i="3"/>
  <c r="BZ92" i="3"/>
  <c r="BY92" i="3"/>
  <c r="BX92" i="3"/>
  <c r="BW92" i="3"/>
  <c r="BV92" i="3"/>
  <c r="BU92" i="3"/>
  <c r="BT92" i="3"/>
  <c r="BS92" i="3"/>
  <c r="BR92" i="3"/>
  <c r="BQ92" i="3"/>
  <c r="BP92" i="3"/>
  <c r="BO92" i="3"/>
  <c r="BN92" i="3"/>
  <c r="BM92" i="3"/>
  <c r="E92" i="3"/>
  <c r="D92" i="3"/>
  <c r="C92" i="3"/>
  <c r="B92" i="3"/>
  <c r="A92" i="3"/>
  <c r="DS91" i="3"/>
  <c r="DR91" i="3"/>
  <c r="DQ91" i="3"/>
  <c r="DP91" i="3"/>
  <c r="DO91" i="3"/>
  <c r="DN91" i="3"/>
  <c r="DM91" i="3"/>
  <c r="DL91" i="3"/>
  <c r="DK91" i="3"/>
  <c r="DJ91" i="3"/>
  <c r="DI91" i="3"/>
  <c r="DH91" i="3"/>
  <c r="DG91" i="3"/>
  <c r="DF91" i="3"/>
  <c r="DE91" i="3"/>
  <c r="DD91" i="3"/>
  <c r="DC91" i="3"/>
  <c r="DB91" i="3"/>
  <c r="DA91" i="3"/>
  <c r="CZ91" i="3"/>
  <c r="CY91" i="3"/>
  <c r="CX91" i="3"/>
  <c r="CW91" i="3"/>
  <c r="CV91" i="3"/>
  <c r="CU91" i="3"/>
  <c r="CT91" i="3"/>
  <c r="CS91" i="3"/>
  <c r="CR91" i="3"/>
  <c r="CQ91" i="3"/>
  <c r="CP91" i="3"/>
  <c r="CO91" i="3"/>
  <c r="CN91" i="3"/>
  <c r="CM91" i="3"/>
  <c r="CL91" i="3"/>
  <c r="CK91" i="3"/>
  <c r="CJ91" i="3"/>
  <c r="CI91" i="3"/>
  <c r="CH91" i="3"/>
  <c r="CG91" i="3"/>
  <c r="CF91" i="3"/>
  <c r="CE91" i="3"/>
  <c r="CD91" i="3"/>
  <c r="CC91" i="3"/>
  <c r="CB91" i="3"/>
  <c r="CA91" i="3"/>
  <c r="BZ91" i="3"/>
  <c r="BY91" i="3"/>
  <c r="BX91" i="3"/>
  <c r="BW91" i="3"/>
  <c r="BV91" i="3"/>
  <c r="BU91" i="3"/>
  <c r="BT91" i="3"/>
  <c r="BS91" i="3"/>
  <c r="BR91" i="3"/>
  <c r="BQ91" i="3"/>
  <c r="BP91" i="3"/>
  <c r="BO91" i="3"/>
  <c r="BN91" i="3"/>
  <c r="BM91" i="3"/>
  <c r="E91" i="3"/>
  <c r="D91" i="3"/>
  <c r="C91" i="3"/>
  <c r="B91" i="3"/>
  <c r="A91" i="3"/>
  <c r="DS90" i="3"/>
  <c r="DR90" i="3"/>
  <c r="DQ90" i="3"/>
  <c r="DP90" i="3"/>
  <c r="DO90" i="3"/>
  <c r="DN90" i="3"/>
  <c r="DM90" i="3"/>
  <c r="DL90" i="3"/>
  <c r="DK90" i="3"/>
  <c r="DJ90" i="3"/>
  <c r="DI90" i="3"/>
  <c r="DH90" i="3"/>
  <c r="DG90" i="3"/>
  <c r="DF90" i="3"/>
  <c r="DE90" i="3"/>
  <c r="DD90" i="3"/>
  <c r="DC90" i="3"/>
  <c r="DB90" i="3"/>
  <c r="DA90" i="3"/>
  <c r="CZ90" i="3"/>
  <c r="CY90" i="3"/>
  <c r="CX90" i="3"/>
  <c r="CW90" i="3"/>
  <c r="CV90" i="3"/>
  <c r="CU90" i="3"/>
  <c r="CT90" i="3"/>
  <c r="CS90" i="3"/>
  <c r="CR90" i="3"/>
  <c r="CQ90" i="3"/>
  <c r="CP90" i="3"/>
  <c r="CO90" i="3"/>
  <c r="CN90" i="3"/>
  <c r="CM90" i="3"/>
  <c r="CL90" i="3"/>
  <c r="CK90" i="3"/>
  <c r="CJ90" i="3"/>
  <c r="CI90" i="3"/>
  <c r="CH90" i="3"/>
  <c r="CG90" i="3"/>
  <c r="CF90" i="3"/>
  <c r="CE90" i="3"/>
  <c r="CD90" i="3"/>
  <c r="CC90" i="3"/>
  <c r="CB90" i="3"/>
  <c r="CA90" i="3"/>
  <c r="BZ90" i="3"/>
  <c r="BY90" i="3"/>
  <c r="BX90" i="3"/>
  <c r="BW90" i="3"/>
  <c r="BV90" i="3"/>
  <c r="BU90" i="3"/>
  <c r="BT90" i="3"/>
  <c r="BS90" i="3"/>
  <c r="BR90" i="3"/>
  <c r="BQ90" i="3"/>
  <c r="BP90" i="3"/>
  <c r="BO90" i="3"/>
  <c r="BN90" i="3"/>
  <c r="BM90" i="3"/>
  <c r="E90" i="3"/>
  <c r="D90" i="3"/>
  <c r="C90" i="3"/>
  <c r="B90" i="3"/>
  <c r="A90" i="3"/>
  <c r="DS89" i="3"/>
  <c r="DR89" i="3"/>
  <c r="DQ89" i="3"/>
  <c r="DP89" i="3"/>
  <c r="DO89" i="3"/>
  <c r="DN89" i="3"/>
  <c r="DM89" i="3"/>
  <c r="DL89" i="3"/>
  <c r="DK89" i="3"/>
  <c r="DJ89" i="3"/>
  <c r="DI89" i="3"/>
  <c r="DH89" i="3"/>
  <c r="DG89" i="3"/>
  <c r="DF89" i="3"/>
  <c r="DE89" i="3"/>
  <c r="DD89" i="3"/>
  <c r="DC89" i="3"/>
  <c r="DB89" i="3"/>
  <c r="DA89" i="3"/>
  <c r="CZ89" i="3"/>
  <c r="CY89" i="3"/>
  <c r="CX89" i="3"/>
  <c r="CW89" i="3"/>
  <c r="CV89" i="3"/>
  <c r="CU89" i="3"/>
  <c r="CT89" i="3"/>
  <c r="CS89" i="3"/>
  <c r="CR89" i="3"/>
  <c r="CQ89" i="3"/>
  <c r="CP89" i="3"/>
  <c r="CO89" i="3"/>
  <c r="CN89" i="3"/>
  <c r="CM89" i="3"/>
  <c r="CL89" i="3"/>
  <c r="CK89" i="3"/>
  <c r="CJ89" i="3"/>
  <c r="CI89" i="3"/>
  <c r="CH89" i="3"/>
  <c r="CG89" i="3"/>
  <c r="CF89" i="3"/>
  <c r="CE89" i="3"/>
  <c r="CD89" i="3"/>
  <c r="CC89" i="3"/>
  <c r="CB89" i="3"/>
  <c r="CA89" i="3"/>
  <c r="BZ89" i="3"/>
  <c r="BY89" i="3"/>
  <c r="BX89" i="3"/>
  <c r="BW89" i="3"/>
  <c r="BV89" i="3"/>
  <c r="BU89" i="3"/>
  <c r="BT89" i="3"/>
  <c r="BS89" i="3"/>
  <c r="BR89" i="3"/>
  <c r="BQ89" i="3"/>
  <c r="BP89" i="3"/>
  <c r="BO89" i="3"/>
  <c r="BN89" i="3"/>
  <c r="BM89" i="3"/>
  <c r="E89" i="3"/>
  <c r="D89" i="3"/>
  <c r="C89" i="3"/>
  <c r="B89" i="3"/>
  <c r="A89" i="3"/>
  <c r="DS88" i="3"/>
  <c r="DR88" i="3"/>
  <c r="DQ88" i="3"/>
  <c r="DP88" i="3"/>
  <c r="DO88" i="3"/>
  <c r="DN88" i="3"/>
  <c r="DM88" i="3"/>
  <c r="DL88" i="3"/>
  <c r="DK88" i="3"/>
  <c r="DJ88" i="3"/>
  <c r="DI88" i="3"/>
  <c r="DH88" i="3"/>
  <c r="DG88" i="3"/>
  <c r="DF88" i="3"/>
  <c r="DE88" i="3"/>
  <c r="DD88" i="3"/>
  <c r="DC88" i="3"/>
  <c r="DB88" i="3"/>
  <c r="DA88" i="3"/>
  <c r="CZ88" i="3"/>
  <c r="CY88" i="3"/>
  <c r="CX88" i="3"/>
  <c r="CW88" i="3"/>
  <c r="CV88" i="3"/>
  <c r="CU88" i="3"/>
  <c r="CT88" i="3"/>
  <c r="CS88" i="3"/>
  <c r="CR88" i="3"/>
  <c r="CQ88" i="3"/>
  <c r="CP88" i="3"/>
  <c r="CO88" i="3"/>
  <c r="CN88" i="3"/>
  <c r="CM88" i="3"/>
  <c r="CL88" i="3"/>
  <c r="CK88" i="3"/>
  <c r="CJ88" i="3"/>
  <c r="CI88" i="3"/>
  <c r="CH88" i="3"/>
  <c r="CG88" i="3"/>
  <c r="CF88" i="3"/>
  <c r="CE88" i="3"/>
  <c r="CD88" i="3"/>
  <c r="CC88" i="3"/>
  <c r="CB88" i="3"/>
  <c r="CA88" i="3"/>
  <c r="BZ88" i="3"/>
  <c r="BY88" i="3"/>
  <c r="BX88" i="3"/>
  <c r="BW88" i="3"/>
  <c r="BV88" i="3"/>
  <c r="BU88" i="3"/>
  <c r="BT88" i="3"/>
  <c r="BS88" i="3"/>
  <c r="BR88" i="3"/>
  <c r="BQ88" i="3"/>
  <c r="BP88" i="3"/>
  <c r="BO88" i="3"/>
  <c r="BN88" i="3"/>
  <c r="BM88" i="3"/>
  <c r="B88" i="3"/>
  <c r="DS87" i="3"/>
  <c r="DR87" i="3"/>
  <c r="DQ87" i="3"/>
  <c r="DP87" i="3"/>
  <c r="DO87" i="3"/>
  <c r="DN87" i="3"/>
  <c r="DM87" i="3"/>
  <c r="DL87" i="3"/>
  <c r="DK87" i="3"/>
  <c r="DJ87" i="3"/>
  <c r="DI87" i="3"/>
  <c r="DH87" i="3"/>
  <c r="DG87" i="3"/>
  <c r="DF87" i="3"/>
  <c r="DE87" i="3"/>
  <c r="DD87" i="3"/>
  <c r="DC87" i="3"/>
  <c r="DB87" i="3"/>
  <c r="DA87" i="3"/>
  <c r="CZ87" i="3"/>
  <c r="CY87" i="3"/>
  <c r="CX87" i="3"/>
  <c r="CW87" i="3"/>
  <c r="CV87" i="3"/>
  <c r="CU87" i="3"/>
  <c r="CT87" i="3"/>
  <c r="CS87" i="3"/>
  <c r="CR87" i="3"/>
  <c r="CQ87" i="3"/>
  <c r="CP87" i="3"/>
  <c r="CO87" i="3"/>
  <c r="CN87" i="3"/>
  <c r="CM87" i="3"/>
  <c r="CL87" i="3"/>
  <c r="CK87" i="3"/>
  <c r="CJ87" i="3"/>
  <c r="CI87" i="3"/>
  <c r="CH87" i="3"/>
  <c r="CG87" i="3"/>
  <c r="CF87" i="3"/>
  <c r="CE87" i="3"/>
  <c r="CD87" i="3"/>
  <c r="CC87" i="3"/>
  <c r="CB87" i="3"/>
  <c r="CA87" i="3"/>
  <c r="BZ87" i="3"/>
  <c r="BY87" i="3"/>
  <c r="BX87" i="3"/>
  <c r="BW87" i="3"/>
  <c r="BV87" i="3"/>
  <c r="BU87" i="3"/>
  <c r="BT87" i="3"/>
  <c r="BS87" i="3"/>
  <c r="BR87" i="3"/>
  <c r="BQ87" i="3"/>
  <c r="BP87" i="3"/>
  <c r="BO87" i="3"/>
  <c r="BN87" i="3"/>
  <c r="BM87" i="3"/>
  <c r="DS86" i="3"/>
  <c r="DR86" i="3"/>
  <c r="DQ86" i="3"/>
  <c r="DP86" i="3"/>
  <c r="DO86" i="3"/>
  <c r="DN86" i="3"/>
  <c r="DM86" i="3"/>
  <c r="DL86" i="3"/>
  <c r="DK86" i="3"/>
  <c r="DJ86" i="3"/>
  <c r="DI86" i="3"/>
  <c r="DH86" i="3"/>
  <c r="DG86" i="3"/>
  <c r="DF86" i="3"/>
  <c r="DE86" i="3"/>
  <c r="DD86" i="3"/>
  <c r="DC86" i="3"/>
  <c r="DB86" i="3"/>
  <c r="DA86" i="3"/>
  <c r="CZ86" i="3"/>
  <c r="CY86" i="3"/>
  <c r="CX86" i="3"/>
  <c r="CW86" i="3"/>
  <c r="CV86" i="3"/>
  <c r="CU86" i="3"/>
  <c r="CT86" i="3"/>
  <c r="CS86" i="3"/>
  <c r="CR86" i="3"/>
  <c r="CQ86" i="3"/>
  <c r="CP86" i="3"/>
  <c r="CO86" i="3"/>
  <c r="CN86" i="3"/>
  <c r="CM86" i="3"/>
  <c r="CL86" i="3"/>
  <c r="CK86" i="3"/>
  <c r="CJ86" i="3"/>
  <c r="CI86" i="3"/>
  <c r="CH86" i="3"/>
  <c r="CG86" i="3"/>
  <c r="CF86" i="3"/>
  <c r="CE86" i="3"/>
  <c r="CD86" i="3"/>
  <c r="CC86" i="3"/>
  <c r="CB86" i="3"/>
  <c r="CA86" i="3"/>
  <c r="BZ86" i="3"/>
  <c r="BY86" i="3"/>
  <c r="BX86" i="3"/>
  <c r="BW86" i="3"/>
  <c r="BV86" i="3"/>
  <c r="BU86" i="3"/>
  <c r="BT86" i="3"/>
  <c r="BS86" i="3"/>
  <c r="BR86" i="3"/>
  <c r="BQ86" i="3"/>
  <c r="BP86" i="3"/>
  <c r="BO86" i="3"/>
  <c r="BN86" i="3"/>
  <c r="BM86" i="3"/>
  <c r="DS85" i="3"/>
  <c r="DR85" i="3"/>
  <c r="DQ85" i="3"/>
  <c r="DP85" i="3"/>
  <c r="DO85" i="3"/>
  <c r="DN85" i="3"/>
  <c r="DM85" i="3"/>
  <c r="DL85" i="3"/>
  <c r="DK85" i="3"/>
  <c r="DJ85" i="3"/>
  <c r="DI85" i="3"/>
  <c r="DH85" i="3"/>
  <c r="DG85" i="3"/>
  <c r="DF85" i="3"/>
  <c r="DE85" i="3"/>
  <c r="DD85" i="3"/>
  <c r="DC85" i="3"/>
  <c r="DB85" i="3"/>
  <c r="DA85" i="3"/>
  <c r="CZ85" i="3"/>
  <c r="CY85" i="3"/>
  <c r="CX85" i="3"/>
  <c r="CW85" i="3"/>
  <c r="CV85" i="3"/>
  <c r="CU85" i="3"/>
  <c r="CT85" i="3"/>
  <c r="CS85" i="3"/>
  <c r="CR85" i="3"/>
  <c r="CQ85" i="3"/>
  <c r="CP85" i="3"/>
  <c r="CO85" i="3"/>
  <c r="CN85" i="3"/>
  <c r="CM85" i="3"/>
  <c r="CL85" i="3"/>
  <c r="CK85" i="3"/>
  <c r="CJ85" i="3"/>
  <c r="CI85" i="3"/>
  <c r="CH85" i="3"/>
  <c r="CG85" i="3"/>
  <c r="CF85" i="3"/>
  <c r="CE85" i="3"/>
  <c r="CD85" i="3"/>
  <c r="CC85" i="3"/>
  <c r="CB85" i="3"/>
  <c r="CA85" i="3"/>
  <c r="BZ85" i="3"/>
  <c r="BY85" i="3"/>
  <c r="BX85" i="3"/>
  <c r="BW85" i="3"/>
  <c r="BV85" i="3"/>
  <c r="BU85" i="3"/>
  <c r="BT85" i="3"/>
  <c r="BS85" i="3"/>
  <c r="BR85" i="3"/>
  <c r="BQ85" i="3"/>
  <c r="BP85" i="3"/>
  <c r="BO85" i="3"/>
  <c r="BN85" i="3"/>
  <c r="BM85" i="3"/>
  <c r="B85" i="3"/>
  <c r="DS84" i="3"/>
  <c r="DR84" i="3"/>
  <c r="DQ84" i="3"/>
  <c r="DP84" i="3"/>
  <c r="DO84" i="3"/>
  <c r="DN84" i="3"/>
  <c r="DM84" i="3"/>
  <c r="DL84" i="3"/>
  <c r="DK84" i="3"/>
  <c r="DJ84" i="3"/>
  <c r="DI84" i="3"/>
  <c r="DH84" i="3"/>
  <c r="DG84" i="3"/>
  <c r="DF84" i="3"/>
  <c r="DE84" i="3"/>
  <c r="DD84" i="3"/>
  <c r="DC84" i="3"/>
  <c r="DB84" i="3"/>
  <c r="DA84" i="3"/>
  <c r="CZ84" i="3"/>
  <c r="CY84" i="3"/>
  <c r="CX84" i="3"/>
  <c r="CW84" i="3"/>
  <c r="CV84" i="3"/>
  <c r="CU84" i="3"/>
  <c r="CT84" i="3"/>
  <c r="CS84" i="3"/>
  <c r="CR84" i="3"/>
  <c r="CQ84" i="3"/>
  <c r="CP84" i="3"/>
  <c r="CO84" i="3"/>
  <c r="CN84" i="3"/>
  <c r="CM84" i="3"/>
  <c r="CL84" i="3"/>
  <c r="CK84" i="3"/>
  <c r="CJ84" i="3"/>
  <c r="CI84" i="3"/>
  <c r="CH84" i="3"/>
  <c r="CG84" i="3"/>
  <c r="CF84" i="3"/>
  <c r="CE84" i="3"/>
  <c r="CD84" i="3"/>
  <c r="CC84" i="3"/>
  <c r="CB84" i="3"/>
  <c r="CA84" i="3"/>
  <c r="BZ84" i="3"/>
  <c r="BY84" i="3"/>
  <c r="BX84" i="3"/>
  <c r="BW84" i="3"/>
  <c r="BV84" i="3"/>
  <c r="BU84" i="3"/>
  <c r="BT84" i="3"/>
  <c r="BS84" i="3"/>
  <c r="BR84" i="3"/>
  <c r="BQ84" i="3"/>
  <c r="BP84" i="3"/>
  <c r="BO84" i="3"/>
  <c r="BN84" i="3"/>
  <c r="BM84" i="3"/>
  <c r="DS83" i="3"/>
  <c r="DR83" i="3"/>
  <c r="DQ83" i="3"/>
  <c r="DP83" i="3"/>
  <c r="DO83" i="3"/>
  <c r="DN83" i="3"/>
  <c r="DM83" i="3"/>
  <c r="DL83" i="3"/>
  <c r="DK83" i="3"/>
  <c r="DJ83" i="3"/>
  <c r="DI83" i="3"/>
  <c r="DH83" i="3"/>
  <c r="DG83" i="3"/>
  <c r="DF83" i="3"/>
  <c r="DE83" i="3"/>
  <c r="DD83" i="3"/>
  <c r="DC83" i="3"/>
  <c r="DB83" i="3"/>
  <c r="DA83" i="3"/>
  <c r="CZ83" i="3"/>
  <c r="CY83" i="3"/>
  <c r="CX83" i="3"/>
  <c r="CW83" i="3"/>
  <c r="CV83" i="3"/>
  <c r="CU83" i="3"/>
  <c r="CT83" i="3"/>
  <c r="CS83" i="3"/>
  <c r="CR83" i="3"/>
  <c r="CQ83" i="3"/>
  <c r="CP83" i="3"/>
  <c r="CO83" i="3"/>
  <c r="CN83" i="3"/>
  <c r="CM83" i="3"/>
  <c r="CL83" i="3"/>
  <c r="CK83" i="3"/>
  <c r="CJ83" i="3"/>
  <c r="CI83" i="3"/>
  <c r="CH83" i="3"/>
  <c r="CG83" i="3"/>
  <c r="CF83" i="3"/>
  <c r="CE83" i="3"/>
  <c r="CD83" i="3"/>
  <c r="CC83" i="3"/>
  <c r="CB83" i="3"/>
  <c r="CA83" i="3"/>
  <c r="BZ83" i="3"/>
  <c r="BY83" i="3"/>
  <c r="BX83" i="3"/>
  <c r="BW83" i="3"/>
  <c r="BV83" i="3"/>
  <c r="BU83" i="3"/>
  <c r="BT83" i="3"/>
  <c r="BS83" i="3"/>
  <c r="BR83" i="3"/>
  <c r="BQ83" i="3"/>
  <c r="BP83" i="3"/>
  <c r="BO83" i="3"/>
  <c r="BN83" i="3"/>
  <c r="BM83" i="3"/>
  <c r="D83" i="3"/>
  <c r="C83" i="3"/>
  <c r="DS82" i="3"/>
  <c r="DR82" i="3"/>
  <c r="DQ82" i="3"/>
  <c r="DP82" i="3"/>
  <c r="DO82" i="3"/>
  <c r="DN82" i="3"/>
  <c r="DM82" i="3"/>
  <c r="DL82" i="3"/>
  <c r="DK82" i="3"/>
  <c r="DJ82" i="3"/>
  <c r="DI82" i="3"/>
  <c r="DH82" i="3"/>
  <c r="DG82" i="3"/>
  <c r="DF82" i="3"/>
  <c r="DE82" i="3"/>
  <c r="DD82" i="3"/>
  <c r="DC82" i="3"/>
  <c r="DB82" i="3"/>
  <c r="DA82" i="3"/>
  <c r="CZ82" i="3"/>
  <c r="CY82" i="3"/>
  <c r="CX82" i="3"/>
  <c r="CW82" i="3"/>
  <c r="CV82" i="3"/>
  <c r="CU82" i="3"/>
  <c r="CT82" i="3"/>
  <c r="CS82" i="3"/>
  <c r="CR82" i="3"/>
  <c r="CQ82" i="3"/>
  <c r="CP82" i="3"/>
  <c r="CO82" i="3"/>
  <c r="CN82" i="3"/>
  <c r="CM82" i="3"/>
  <c r="CL82" i="3"/>
  <c r="CK82" i="3"/>
  <c r="CJ82" i="3"/>
  <c r="CI82" i="3"/>
  <c r="CH82" i="3"/>
  <c r="CG82" i="3"/>
  <c r="CF82" i="3"/>
  <c r="CE82" i="3"/>
  <c r="CD82" i="3"/>
  <c r="CC82" i="3"/>
  <c r="CB82" i="3"/>
  <c r="CA82" i="3"/>
  <c r="BZ82" i="3"/>
  <c r="BY82" i="3"/>
  <c r="BX82" i="3"/>
  <c r="BW82" i="3"/>
  <c r="BV82" i="3"/>
  <c r="BU82" i="3"/>
  <c r="BT82" i="3"/>
  <c r="BS82" i="3"/>
  <c r="BR82" i="3"/>
  <c r="BQ82" i="3"/>
  <c r="BP82" i="3"/>
  <c r="BO82" i="3"/>
  <c r="BN82" i="3"/>
  <c r="BM82" i="3"/>
  <c r="DS81" i="3"/>
  <c r="DR81" i="3"/>
  <c r="DQ81" i="3"/>
  <c r="DP81" i="3"/>
  <c r="DO81" i="3"/>
  <c r="DN81" i="3"/>
  <c r="DM81" i="3"/>
  <c r="DL81" i="3"/>
  <c r="DK81" i="3"/>
  <c r="DJ81" i="3"/>
  <c r="DI81" i="3"/>
  <c r="DH81" i="3"/>
  <c r="DG81" i="3"/>
  <c r="DF81" i="3"/>
  <c r="DE81" i="3"/>
  <c r="DD81" i="3"/>
  <c r="DC81" i="3"/>
  <c r="DB81" i="3"/>
  <c r="DA81" i="3"/>
  <c r="CZ81" i="3"/>
  <c r="CY81" i="3"/>
  <c r="CX81" i="3"/>
  <c r="CW81" i="3"/>
  <c r="CV81" i="3"/>
  <c r="CU81" i="3"/>
  <c r="CT81" i="3"/>
  <c r="CS81" i="3"/>
  <c r="CR81" i="3"/>
  <c r="CQ81" i="3"/>
  <c r="CP81" i="3"/>
  <c r="CO81" i="3"/>
  <c r="CN81" i="3"/>
  <c r="CM81" i="3"/>
  <c r="CL81" i="3"/>
  <c r="CK81" i="3"/>
  <c r="CJ81" i="3"/>
  <c r="CI81" i="3"/>
  <c r="CH81" i="3"/>
  <c r="CG81" i="3"/>
  <c r="CF81" i="3"/>
  <c r="CE81" i="3"/>
  <c r="CD81" i="3"/>
  <c r="CC81" i="3"/>
  <c r="CB81" i="3"/>
  <c r="CA81" i="3"/>
  <c r="BZ81" i="3"/>
  <c r="BY81" i="3"/>
  <c r="BX81" i="3"/>
  <c r="BW81" i="3"/>
  <c r="BV81" i="3"/>
  <c r="BU81" i="3"/>
  <c r="BT81" i="3"/>
  <c r="BS81" i="3"/>
  <c r="BR81" i="3"/>
  <c r="BQ81" i="3"/>
  <c r="BP81" i="3"/>
  <c r="BO81" i="3"/>
  <c r="BN81" i="3"/>
  <c r="BM81" i="3"/>
  <c r="DS80" i="3"/>
  <c r="DR80" i="3"/>
  <c r="DQ80" i="3"/>
  <c r="DP80" i="3"/>
  <c r="DO80" i="3"/>
  <c r="DN80" i="3"/>
  <c r="DM80" i="3"/>
  <c r="DL80" i="3"/>
  <c r="DK80" i="3"/>
  <c r="DJ80" i="3"/>
  <c r="DI80" i="3"/>
  <c r="DH80" i="3"/>
  <c r="DG80" i="3"/>
  <c r="DF80" i="3"/>
  <c r="DE80" i="3"/>
  <c r="DD80" i="3"/>
  <c r="DC80" i="3"/>
  <c r="DB80" i="3"/>
  <c r="DA80" i="3"/>
  <c r="CZ80" i="3"/>
  <c r="CY80" i="3"/>
  <c r="CX80" i="3"/>
  <c r="CW80" i="3"/>
  <c r="CV80" i="3"/>
  <c r="CU80" i="3"/>
  <c r="CT80" i="3"/>
  <c r="CS80" i="3"/>
  <c r="CR80" i="3"/>
  <c r="CQ80" i="3"/>
  <c r="CP80" i="3"/>
  <c r="CO80" i="3"/>
  <c r="CN80" i="3"/>
  <c r="CM80" i="3"/>
  <c r="CL80" i="3"/>
  <c r="CK80" i="3"/>
  <c r="CJ80" i="3"/>
  <c r="CI80" i="3"/>
  <c r="CH80" i="3"/>
  <c r="CG80" i="3"/>
  <c r="CF80" i="3"/>
  <c r="CE80" i="3"/>
  <c r="CD80" i="3"/>
  <c r="CC80" i="3"/>
  <c r="CB80" i="3"/>
  <c r="CA80" i="3"/>
  <c r="BZ80" i="3"/>
  <c r="BY80" i="3"/>
  <c r="BX80" i="3"/>
  <c r="BW80" i="3"/>
  <c r="BV80" i="3"/>
  <c r="BU80" i="3"/>
  <c r="BT80" i="3"/>
  <c r="BS80" i="3"/>
  <c r="BR80" i="3"/>
  <c r="BQ80" i="3"/>
  <c r="BP80" i="3"/>
  <c r="BO80" i="3"/>
  <c r="BN80" i="3"/>
  <c r="BM80" i="3"/>
  <c r="DS79" i="3"/>
  <c r="DR79" i="3"/>
  <c r="DQ79" i="3"/>
  <c r="DP79" i="3"/>
  <c r="DO79" i="3"/>
  <c r="DN79" i="3"/>
  <c r="DM79" i="3"/>
  <c r="DL79" i="3"/>
  <c r="DK79" i="3"/>
  <c r="DJ79" i="3"/>
  <c r="DI79" i="3"/>
  <c r="DH79" i="3"/>
  <c r="DG79" i="3"/>
  <c r="DF79" i="3"/>
  <c r="DE79" i="3"/>
  <c r="DD79" i="3"/>
  <c r="DC79" i="3"/>
  <c r="DB79" i="3"/>
  <c r="DA79" i="3"/>
  <c r="CZ79" i="3"/>
  <c r="CY79" i="3"/>
  <c r="CX79" i="3"/>
  <c r="CW79" i="3"/>
  <c r="CV79" i="3"/>
  <c r="CU79" i="3"/>
  <c r="CT79" i="3"/>
  <c r="CS79" i="3"/>
  <c r="CR79" i="3"/>
  <c r="CQ79" i="3"/>
  <c r="CP79" i="3"/>
  <c r="CO79" i="3"/>
  <c r="CN79" i="3"/>
  <c r="CM79" i="3"/>
  <c r="CL79" i="3"/>
  <c r="CK79" i="3"/>
  <c r="CJ79" i="3"/>
  <c r="CI79" i="3"/>
  <c r="CH79" i="3"/>
  <c r="CG79" i="3"/>
  <c r="CF79" i="3"/>
  <c r="CE79" i="3"/>
  <c r="CD79" i="3"/>
  <c r="CC79" i="3"/>
  <c r="CB79" i="3"/>
  <c r="CA79" i="3"/>
  <c r="BZ79" i="3"/>
  <c r="BY79" i="3"/>
  <c r="BX79" i="3"/>
  <c r="BW79" i="3"/>
  <c r="BV79" i="3"/>
  <c r="BU79" i="3"/>
  <c r="BT79" i="3"/>
  <c r="BS79" i="3"/>
  <c r="BR79" i="3"/>
  <c r="BQ79" i="3"/>
  <c r="BP79" i="3"/>
  <c r="BO79" i="3"/>
  <c r="BN79" i="3"/>
  <c r="BM79" i="3"/>
  <c r="DS78" i="3"/>
  <c r="DR78" i="3"/>
  <c r="DQ78" i="3"/>
  <c r="DP78" i="3"/>
  <c r="DO78" i="3"/>
  <c r="DN78" i="3"/>
  <c r="DM78" i="3"/>
  <c r="DL78" i="3"/>
  <c r="DK78" i="3"/>
  <c r="DJ78" i="3"/>
  <c r="DI78" i="3"/>
  <c r="DH78" i="3"/>
  <c r="DG78" i="3"/>
  <c r="DF78" i="3"/>
  <c r="DE78" i="3"/>
  <c r="DD78" i="3"/>
  <c r="DC78" i="3"/>
  <c r="DB78" i="3"/>
  <c r="DA78" i="3"/>
  <c r="CZ78" i="3"/>
  <c r="CY78" i="3"/>
  <c r="CX78" i="3"/>
  <c r="CW78" i="3"/>
  <c r="CV78" i="3"/>
  <c r="CU78" i="3"/>
  <c r="CT78" i="3"/>
  <c r="CS78" i="3"/>
  <c r="CR78" i="3"/>
  <c r="CQ78" i="3"/>
  <c r="CP78" i="3"/>
  <c r="CO78" i="3"/>
  <c r="CN78" i="3"/>
  <c r="CM78" i="3"/>
  <c r="CL78" i="3"/>
  <c r="CK78" i="3"/>
  <c r="CJ78" i="3"/>
  <c r="CI78" i="3"/>
  <c r="CH78" i="3"/>
  <c r="CG78" i="3"/>
  <c r="CF78" i="3"/>
  <c r="CE78" i="3"/>
  <c r="CD78" i="3"/>
  <c r="CC78" i="3"/>
  <c r="CB78" i="3"/>
  <c r="CA78" i="3"/>
  <c r="BZ78" i="3"/>
  <c r="BY78" i="3"/>
  <c r="BX78" i="3"/>
  <c r="BW78" i="3"/>
  <c r="BV78" i="3"/>
  <c r="BU78" i="3"/>
  <c r="BT78" i="3"/>
  <c r="BS78" i="3"/>
  <c r="BR78" i="3"/>
  <c r="BQ78" i="3"/>
  <c r="BP78" i="3"/>
  <c r="BO78" i="3"/>
  <c r="BN78" i="3"/>
  <c r="BM78" i="3"/>
  <c r="DS77" i="3"/>
  <c r="DR77" i="3"/>
  <c r="DQ77" i="3"/>
  <c r="DP77" i="3"/>
  <c r="DO77" i="3"/>
  <c r="DN77" i="3"/>
  <c r="DM77" i="3"/>
  <c r="DL77" i="3"/>
  <c r="DK77" i="3"/>
  <c r="DJ77" i="3"/>
  <c r="DI77" i="3"/>
  <c r="DH77" i="3"/>
  <c r="DG77" i="3"/>
  <c r="DF77" i="3"/>
  <c r="DE77" i="3"/>
  <c r="DD77" i="3"/>
  <c r="DC77" i="3"/>
  <c r="DB77" i="3"/>
  <c r="DA77" i="3"/>
  <c r="CZ77" i="3"/>
  <c r="CY77" i="3"/>
  <c r="CX77" i="3"/>
  <c r="CW77" i="3"/>
  <c r="CV77" i="3"/>
  <c r="CU77" i="3"/>
  <c r="CT77" i="3"/>
  <c r="CS77" i="3"/>
  <c r="CR77" i="3"/>
  <c r="CQ77" i="3"/>
  <c r="CP77" i="3"/>
  <c r="CO77" i="3"/>
  <c r="CN77" i="3"/>
  <c r="CM77" i="3"/>
  <c r="CL77" i="3"/>
  <c r="CK77" i="3"/>
  <c r="CJ77" i="3"/>
  <c r="CI77" i="3"/>
  <c r="CH77" i="3"/>
  <c r="CG77" i="3"/>
  <c r="CF77" i="3"/>
  <c r="CE77" i="3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DS76" i="3"/>
  <c r="DR76" i="3"/>
  <c r="DQ76" i="3"/>
  <c r="DP76" i="3"/>
  <c r="DO76" i="3"/>
  <c r="DN76" i="3"/>
  <c r="DM76" i="3"/>
  <c r="DL76" i="3"/>
  <c r="DK76" i="3"/>
  <c r="DJ76" i="3"/>
  <c r="DI76" i="3"/>
  <c r="DH76" i="3"/>
  <c r="DG76" i="3"/>
  <c r="DF76" i="3"/>
  <c r="DE76" i="3"/>
  <c r="DD76" i="3"/>
  <c r="DC76" i="3"/>
  <c r="DB76" i="3"/>
  <c r="DA76" i="3"/>
  <c r="CZ76" i="3"/>
  <c r="CY76" i="3"/>
  <c r="CX76" i="3"/>
  <c r="CW76" i="3"/>
  <c r="CV76" i="3"/>
  <c r="CU76" i="3"/>
  <c r="CT76" i="3"/>
  <c r="CS76" i="3"/>
  <c r="CR76" i="3"/>
  <c r="CQ76" i="3"/>
  <c r="CP76" i="3"/>
  <c r="CO76" i="3"/>
  <c r="CN76" i="3"/>
  <c r="CM76" i="3"/>
  <c r="CL76" i="3"/>
  <c r="CK76" i="3"/>
  <c r="CJ76" i="3"/>
  <c r="CI76" i="3"/>
  <c r="CH76" i="3"/>
  <c r="CG76" i="3"/>
  <c r="CF76" i="3"/>
  <c r="CE76" i="3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BM76" i="3"/>
  <c r="DS75" i="3"/>
  <c r="DR75" i="3"/>
  <c r="DQ75" i="3"/>
  <c r="DP75" i="3"/>
  <c r="DO75" i="3"/>
  <c r="DN75" i="3"/>
  <c r="DM75" i="3"/>
  <c r="DL75" i="3"/>
  <c r="DK75" i="3"/>
  <c r="DJ75" i="3"/>
  <c r="DI75" i="3"/>
  <c r="DH75" i="3"/>
  <c r="DG75" i="3"/>
  <c r="DF75" i="3"/>
  <c r="DE75" i="3"/>
  <c r="DD75" i="3"/>
  <c r="DC75" i="3"/>
  <c r="DB75" i="3"/>
  <c r="DA75" i="3"/>
  <c r="CZ75" i="3"/>
  <c r="CY75" i="3"/>
  <c r="CX75" i="3"/>
  <c r="CW75" i="3"/>
  <c r="CV75" i="3"/>
  <c r="CU75" i="3"/>
  <c r="CT75" i="3"/>
  <c r="CS75" i="3"/>
  <c r="CR75" i="3"/>
  <c r="CQ75" i="3"/>
  <c r="CP75" i="3"/>
  <c r="CO75" i="3"/>
  <c r="CN75" i="3"/>
  <c r="CM75" i="3"/>
  <c r="CL75" i="3"/>
  <c r="CK75" i="3"/>
  <c r="CJ75" i="3"/>
  <c r="CI75" i="3"/>
  <c r="CH75" i="3"/>
  <c r="CG75" i="3"/>
  <c r="CF75" i="3"/>
  <c r="CE75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DS74" i="3"/>
  <c r="DR74" i="3"/>
  <c r="DQ74" i="3"/>
  <c r="DP74" i="3"/>
  <c r="DO74" i="3"/>
  <c r="DN74" i="3"/>
  <c r="DM74" i="3"/>
  <c r="DL74" i="3"/>
  <c r="DK74" i="3"/>
  <c r="DJ74" i="3"/>
  <c r="DI74" i="3"/>
  <c r="DH74" i="3"/>
  <c r="DG74" i="3"/>
  <c r="DF74" i="3"/>
  <c r="DE74" i="3"/>
  <c r="DD74" i="3"/>
  <c r="DC74" i="3"/>
  <c r="DB74" i="3"/>
  <c r="DA74" i="3"/>
  <c r="CZ74" i="3"/>
  <c r="CY74" i="3"/>
  <c r="CX74" i="3"/>
  <c r="CW74" i="3"/>
  <c r="CV74" i="3"/>
  <c r="CU74" i="3"/>
  <c r="CT74" i="3"/>
  <c r="CS74" i="3"/>
  <c r="CR74" i="3"/>
  <c r="CQ74" i="3"/>
  <c r="CP74" i="3"/>
  <c r="CO74" i="3"/>
  <c r="CN74" i="3"/>
  <c r="CM74" i="3"/>
  <c r="CL74" i="3"/>
  <c r="CK74" i="3"/>
  <c r="CJ74" i="3"/>
  <c r="CI74" i="3"/>
  <c r="CH74" i="3"/>
  <c r="CG74" i="3"/>
  <c r="CF74" i="3"/>
  <c r="CE74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DS73" i="3"/>
  <c r="DR73" i="3"/>
  <c r="DQ73" i="3"/>
  <c r="DP73" i="3"/>
  <c r="DO73" i="3"/>
  <c r="DN73" i="3"/>
  <c r="DM73" i="3"/>
  <c r="DL73" i="3"/>
  <c r="DK73" i="3"/>
  <c r="DJ73" i="3"/>
  <c r="DI73" i="3"/>
  <c r="DH73" i="3"/>
  <c r="DG73" i="3"/>
  <c r="DF73" i="3"/>
  <c r="DE73" i="3"/>
  <c r="DD73" i="3"/>
  <c r="DC73" i="3"/>
  <c r="DB73" i="3"/>
  <c r="DA73" i="3"/>
  <c r="CZ73" i="3"/>
  <c r="CY73" i="3"/>
  <c r="CX73" i="3"/>
  <c r="CW73" i="3"/>
  <c r="CV73" i="3"/>
  <c r="CU73" i="3"/>
  <c r="CT73" i="3"/>
  <c r="CS73" i="3"/>
  <c r="CR73" i="3"/>
  <c r="CQ73" i="3"/>
  <c r="CP73" i="3"/>
  <c r="CO73" i="3"/>
  <c r="CN73" i="3"/>
  <c r="CM73" i="3"/>
  <c r="CL73" i="3"/>
  <c r="CK73" i="3"/>
  <c r="CJ73" i="3"/>
  <c r="CI73" i="3"/>
  <c r="CH73" i="3"/>
  <c r="CG73" i="3"/>
  <c r="CF73" i="3"/>
  <c r="CE73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DS72" i="3"/>
  <c r="DR72" i="3"/>
  <c r="DQ72" i="3"/>
  <c r="DP72" i="3"/>
  <c r="DO72" i="3"/>
  <c r="DN72" i="3"/>
  <c r="DM72" i="3"/>
  <c r="DL72" i="3"/>
  <c r="DK72" i="3"/>
  <c r="DJ72" i="3"/>
  <c r="DI72" i="3"/>
  <c r="DH72" i="3"/>
  <c r="DG72" i="3"/>
  <c r="DF72" i="3"/>
  <c r="DE72" i="3"/>
  <c r="DD72" i="3"/>
  <c r="DC72" i="3"/>
  <c r="DB72" i="3"/>
  <c r="DA72" i="3"/>
  <c r="CZ72" i="3"/>
  <c r="CY72" i="3"/>
  <c r="CX72" i="3"/>
  <c r="CW72" i="3"/>
  <c r="CV72" i="3"/>
  <c r="CU72" i="3"/>
  <c r="CT72" i="3"/>
  <c r="CS72" i="3"/>
  <c r="CR72" i="3"/>
  <c r="CQ72" i="3"/>
  <c r="CP72" i="3"/>
  <c r="CO72" i="3"/>
  <c r="CN72" i="3"/>
  <c r="CM72" i="3"/>
  <c r="CL72" i="3"/>
  <c r="CK72" i="3"/>
  <c r="CJ72" i="3"/>
  <c r="CI72" i="3"/>
  <c r="CH72" i="3"/>
  <c r="CG72" i="3"/>
  <c r="CF72" i="3"/>
  <c r="CE72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DS71" i="3"/>
  <c r="DR71" i="3"/>
  <c r="DQ71" i="3"/>
  <c r="DP71" i="3"/>
  <c r="DO71" i="3"/>
  <c r="DN71" i="3"/>
  <c r="DM71" i="3"/>
  <c r="DL71" i="3"/>
  <c r="DK71" i="3"/>
  <c r="DJ71" i="3"/>
  <c r="DI71" i="3"/>
  <c r="DH71" i="3"/>
  <c r="DG71" i="3"/>
  <c r="DF71" i="3"/>
  <c r="DE71" i="3"/>
  <c r="DD71" i="3"/>
  <c r="DC71" i="3"/>
  <c r="DB71" i="3"/>
  <c r="DA71" i="3"/>
  <c r="CZ71" i="3"/>
  <c r="CY71" i="3"/>
  <c r="CX71" i="3"/>
  <c r="CW71" i="3"/>
  <c r="CV71" i="3"/>
  <c r="CU71" i="3"/>
  <c r="CT71" i="3"/>
  <c r="CS71" i="3"/>
  <c r="CR71" i="3"/>
  <c r="CQ71" i="3"/>
  <c r="CP71" i="3"/>
  <c r="CO71" i="3"/>
  <c r="CN71" i="3"/>
  <c r="CM71" i="3"/>
  <c r="CL71" i="3"/>
  <c r="CK71" i="3"/>
  <c r="CJ71" i="3"/>
  <c r="CI71" i="3"/>
  <c r="CH71" i="3"/>
  <c r="CG71" i="3"/>
  <c r="CF71" i="3"/>
  <c r="CE71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DS70" i="3"/>
  <c r="DR70" i="3"/>
  <c r="DQ70" i="3"/>
  <c r="DP70" i="3"/>
  <c r="DO70" i="3"/>
  <c r="DN70" i="3"/>
  <c r="DM70" i="3"/>
  <c r="DL70" i="3"/>
  <c r="DK70" i="3"/>
  <c r="DJ70" i="3"/>
  <c r="DI70" i="3"/>
  <c r="DH70" i="3"/>
  <c r="DG70" i="3"/>
  <c r="DF70" i="3"/>
  <c r="DE70" i="3"/>
  <c r="DD70" i="3"/>
  <c r="DC70" i="3"/>
  <c r="DB70" i="3"/>
  <c r="DA70" i="3"/>
  <c r="CZ70" i="3"/>
  <c r="CY70" i="3"/>
  <c r="CX70" i="3"/>
  <c r="CW70" i="3"/>
  <c r="CV70" i="3"/>
  <c r="CU70" i="3"/>
  <c r="CT70" i="3"/>
  <c r="CS70" i="3"/>
  <c r="CR70" i="3"/>
  <c r="CQ70" i="3"/>
  <c r="CP70" i="3"/>
  <c r="CO70" i="3"/>
  <c r="CN70" i="3"/>
  <c r="CM70" i="3"/>
  <c r="CL70" i="3"/>
  <c r="CK70" i="3"/>
  <c r="CJ70" i="3"/>
  <c r="CI70" i="3"/>
  <c r="CH70" i="3"/>
  <c r="CG70" i="3"/>
  <c r="CF70" i="3"/>
  <c r="CE70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DS69" i="3"/>
  <c r="DR69" i="3"/>
  <c r="DQ69" i="3"/>
  <c r="DP69" i="3"/>
  <c r="DO69" i="3"/>
  <c r="DN69" i="3"/>
  <c r="DM69" i="3"/>
  <c r="DL69" i="3"/>
  <c r="DK69" i="3"/>
  <c r="DJ69" i="3"/>
  <c r="DI69" i="3"/>
  <c r="DH69" i="3"/>
  <c r="DG69" i="3"/>
  <c r="DF69" i="3"/>
  <c r="DE69" i="3"/>
  <c r="DD69" i="3"/>
  <c r="DC69" i="3"/>
  <c r="DB69" i="3"/>
  <c r="DA69" i="3"/>
  <c r="CZ69" i="3"/>
  <c r="CY69" i="3"/>
  <c r="CX69" i="3"/>
  <c r="CW69" i="3"/>
  <c r="CV69" i="3"/>
  <c r="CU69" i="3"/>
  <c r="CT69" i="3"/>
  <c r="CS69" i="3"/>
  <c r="CR69" i="3"/>
  <c r="CQ69" i="3"/>
  <c r="CP69" i="3"/>
  <c r="CO69" i="3"/>
  <c r="CN69" i="3"/>
  <c r="CM69" i="3"/>
  <c r="CL69" i="3"/>
  <c r="CK69" i="3"/>
  <c r="CJ69" i="3"/>
  <c r="CI69" i="3"/>
  <c r="CH69" i="3"/>
  <c r="CG69" i="3"/>
  <c r="CF69" i="3"/>
  <c r="CE69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DS68" i="3"/>
  <c r="DR68" i="3"/>
  <c r="DQ68" i="3"/>
  <c r="DP68" i="3"/>
  <c r="DO68" i="3"/>
  <c r="DN68" i="3"/>
  <c r="DM68" i="3"/>
  <c r="DL68" i="3"/>
  <c r="DK68" i="3"/>
  <c r="DJ68" i="3"/>
  <c r="DI68" i="3"/>
  <c r="DH68" i="3"/>
  <c r="DG68" i="3"/>
  <c r="DF68" i="3"/>
  <c r="DE68" i="3"/>
  <c r="DD68" i="3"/>
  <c r="DC68" i="3"/>
  <c r="DB68" i="3"/>
  <c r="DA68" i="3"/>
  <c r="CZ68" i="3"/>
  <c r="CY68" i="3"/>
  <c r="CX68" i="3"/>
  <c r="CW68" i="3"/>
  <c r="CV68" i="3"/>
  <c r="CU68" i="3"/>
  <c r="CT68" i="3"/>
  <c r="CS68" i="3"/>
  <c r="CR68" i="3"/>
  <c r="CQ68" i="3"/>
  <c r="CP68" i="3"/>
  <c r="CO68" i="3"/>
  <c r="CN68" i="3"/>
  <c r="CM68" i="3"/>
  <c r="CL68" i="3"/>
  <c r="CK68" i="3"/>
  <c r="CJ68" i="3"/>
  <c r="CI68" i="3"/>
  <c r="CH68" i="3"/>
  <c r="CG68" i="3"/>
  <c r="CF68" i="3"/>
  <c r="CE68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DS67" i="3"/>
  <c r="DR67" i="3"/>
  <c r="DQ67" i="3"/>
  <c r="DP67" i="3"/>
  <c r="DO67" i="3"/>
  <c r="DN67" i="3"/>
  <c r="DM67" i="3"/>
  <c r="DL67" i="3"/>
  <c r="DK67" i="3"/>
  <c r="DJ67" i="3"/>
  <c r="DI67" i="3"/>
  <c r="DH67" i="3"/>
  <c r="DG67" i="3"/>
  <c r="DF67" i="3"/>
  <c r="DE67" i="3"/>
  <c r="DD67" i="3"/>
  <c r="DC67" i="3"/>
  <c r="DB67" i="3"/>
  <c r="DA67" i="3"/>
  <c r="CZ67" i="3"/>
  <c r="CY67" i="3"/>
  <c r="CX67" i="3"/>
  <c r="CW67" i="3"/>
  <c r="CV67" i="3"/>
  <c r="CU67" i="3"/>
  <c r="CT67" i="3"/>
  <c r="CS67" i="3"/>
  <c r="CR67" i="3"/>
  <c r="CQ67" i="3"/>
  <c r="CP67" i="3"/>
  <c r="CO67" i="3"/>
  <c r="CN67" i="3"/>
  <c r="CM67" i="3"/>
  <c r="CL67" i="3"/>
  <c r="CK67" i="3"/>
  <c r="CJ67" i="3"/>
  <c r="CI67" i="3"/>
  <c r="CH67" i="3"/>
  <c r="CG67" i="3"/>
  <c r="CF67" i="3"/>
  <c r="CE67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DS66" i="3"/>
  <c r="DR66" i="3"/>
  <c r="DQ66" i="3"/>
  <c r="DP66" i="3"/>
  <c r="DO66" i="3"/>
  <c r="DN66" i="3"/>
  <c r="DM66" i="3"/>
  <c r="DL66" i="3"/>
  <c r="DK66" i="3"/>
  <c r="DJ66" i="3"/>
  <c r="DI66" i="3"/>
  <c r="DH66" i="3"/>
  <c r="DG66" i="3"/>
  <c r="DF66" i="3"/>
  <c r="DE66" i="3"/>
  <c r="DD66" i="3"/>
  <c r="DC66" i="3"/>
  <c r="DB66" i="3"/>
  <c r="DA66" i="3"/>
  <c r="CZ66" i="3"/>
  <c r="CY66" i="3"/>
  <c r="CX66" i="3"/>
  <c r="CW66" i="3"/>
  <c r="CV66" i="3"/>
  <c r="CU66" i="3"/>
  <c r="CT66" i="3"/>
  <c r="CS66" i="3"/>
  <c r="CR66" i="3"/>
  <c r="CQ66" i="3"/>
  <c r="CP66" i="3"/>
  <c r="CO66" i="3"/>
  <c r="CN66" i="3"/>
  <c r="CM66" i="3"/>
  <c r="CL66" i="3"/>
  <c r="CK66" i="3"/>
  <c r="CJ66" i="3"/>
  <c r="CI66" i="3"/>
  <c r="CH66" i="3"/>
  <c r="CG66" i="3"/>
  <c r="CF66" i="3"/>
  <c r="CE66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DS65" i="3"/>
  <c r="DR65" i="3"/>
  <c r="DQ65" i="3"/>
  <c r="DP65" i="3"/>
  <c r="DO65" i="3"/>
  <c r="DN65" i="3"/>
  <c r="DM65" i="3"/>
  <c r="DL65" i="3"/>
  <c r="DK65" i="3"/>
  <c r="DJ65" i="3"/>
  <c r="DI65" i="3"/>
  <c r="DH65" i="3"/>
  <c r="DG65" i="3"/>
  <c r="DF65" i="3"/>
  <c r="DE65" i="3"/>
  <c r="DD65" i="3"/>
  <c r="DC65" i="3"/>
  <c r="DB65" i="3"/>
  <c r="DA65" i="3"/>
  <c r="CZ65" i="3"/>
  <c r="CY65" i="3"/>
  <c r="CX65" i="3"/>
  <c r="CW65" i="3"/>
  <c r="CV65" i="3"/>
  <c r="CU65" i="3"/>
  <c r="CT65" i="3"/>
  <c r="CS65" i="3"/>
  <c r="CR65" i="3"/>
  <c r="CQ65" i="3"/>
  <c r="CP65" i="3"/>
  <c r="CO65" i="3"/>
  <c r="CN65" i="3"/>
  <c r="CM65" i="3"/>
  <c r="CL65" i="3"/>
  <c r="CK65" i="3"/>
  <c r="CJ65" i="3"/>
  <c r="CI65" i="3"/>
  <c r="CH65" i="3"/>
  <c r="CG65" i="3"/>
  <c r="CF65" i="3"/>
  <c r="CE65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DS64" i="3"/>
  <c r="DR64" i="3"/>
  <c r="DQ64" i="3"/>
  <c r="DP64" i="3"/>
  <c r="DO64" i="3"/>
  <c r="DN64" i="3"/>
  <c r="DM64" i="3"/>
  <c r="DL64" i="3"/>
  <c r="DK64" i="3"/>
  <c r="DJ64" i="3"/>
  <c r="DI64" i="3"/>
  <c r="DH64" i="3"/>
  <c r="DG64" i="3"/>
  <c r="DF64" i="3"/>
  <c r="DE64" i="3"/>
  <c r="DD64" i="3"/>
  <c r="DC64" i="3"/>
  <c r="DB64" i="3"/>
  <c r="DA64" i="3"/>
  <c r="CZ64" i="3"/>
  <c r="CY64" i="3"/>
  <c r="CX64" i="3"/>
  <c r="CW64" i="3"/>
  <c r="CV64" i="3"/>
  <c r="CU64" i="3"/>
  <c r="CT64" i="3"/>
  <c r="CS64" i="3"/>
  <c r="CR64" i="3"/>
  <c r="CQ64" i="3"/>
  <c r="CP64" i="3"/>
  <c r="CO64" i="3"/>
  <c r="CN64" i="3"/>
  <c r="CM64" i="3"/>
  <c r="CL64" i="3"/>
  <c r="CK64" i="3"/>
  <c r="CJ64" i="3"/>
  <c r="CI64" i="3"/>
  <c r="CH64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DS63" i="3"/>
  <c r="DR63" i="3"/>
  <c r="DQ63" i="3"/>
  <c r="DP63" i="3"/>
  <c r="DO63" i="3"/>
  <c r="DN63" i="3"/>
  <c r="DM63" i="3"/>
  <c r="DL63" i="3"/>
  <c r="DK63" i="3"/>
  <c r="DJ63" i="3"/>
  <c r="DI63" i="3"/>
  <c r="DH63" i="3"/>
  <c r="DG63" i="3"/>
  <c r="DF63" i="3"/>
  <c r="DE63" i="3"/>
  <c r="DD63" i="3"/>
  <c r="DC63" i="3"/>
  <c r="DB63" i="3"/>
  <c r="DA63" i="3"/>
  <c r="CZ63" i="3"/>
  <c r="CY63" i="3"/>
  <c r="CX63" i="3"/>
  <c r="CW63" i="3"/>
  <c r="CV63" i="3"/>
  <c r="CU63" i="3"/>
  <c r="CT63" i="3"/>
  <c r="CS63" i="3"/>
  <c r="CR63" i="3"/>
  <c r="CQ63" i="3"/>
  <c r="CP63" i="3"/>
  <c r="CO63" i="3"/>
  <c r="CN63" i="3"/>
  <c r="CM63" i="3"/>
  <c r="CL63" i="3"/>
  <c r="CK63" i="3"/>
  <c r="CJ63" i="3"/>
  <c r="CI63" i="3"/>
  <c r="CH63" i="3"/>
  <c r="CG63" i="3"/>
  <c r="CF63" i="3"/>
  <c r="CE63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DS62" i="3"/>
  <c r="DR62" i="3"/>
  <c r="DQ62" i="3"/>
  <c r="DP62" i="3"/>
  <c r="DO62" i="3"/>
  <c r="DN62" i="3"/>
  <c r="DM62" i="3"/>
  <c r="DL62" i="3"/>
  <c r="DK62" i="3"/>
  <c r="DJ62" i="3"/>
  <c r="DI62" i="3"/>
  <c r="DH62" i="3"/>
  <c r="DG62" i="3"/>
  <c r="DF62" i="3"/>
  <c r="DE62" i="3"/>
  <c r="DD62" i="3"/>
  <c r="DC62" i="3"/>
  <c r="DB62" i="3"/>
  <c r="DA62" i="3"/>
  <c r="CZ62" i="3"/>
  <c r="CY62" i="3"/>
  <c r="CX62" i="3"/>
  <c r="CW62" i="3"/>
  <c r="CV62" i="3"/>
  <c r="CU62" i="3"/>
  <c r="CT62" i="3"/>
  <c r="CS62" i="3"/>
  <c r="CR62" i="3"/>
  <c r="CQ62" i="3"/>
  <c r="CP62" i="3"/>
  <c r="CO62" i="3"/>
  <c r="CN62" i="3"/>
  <c r="CM62" i="3"/>
  <c r="CL62" i="3"/>
  <c r="CK62" i="3"/>
  <c r="CJ62" i="3"/>
  <c r="CI62" i="3"/>
  <c r="CH62" i="3"/>
  <c r="CG62" i="3"/>
  <c r="CF62" i="3"/>
  <c r="CE62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DS61" i="3"/>
  <c r="DR61" i="3"/>
  <c r="DQ61" i="3"/>
  <c r="DP61" i="3"/>
  <c r="DO61" i="3"/>
  <c r="DN61" i="3"/>
  <c r="DM61" i="3"/>
  <c r="DL61" i="3"/>
  <c r="DK61" i="3"/>
  <c r="DJ61" i="3"/>
  <c r="DI61" i="3"/>
  <c r="DH61" i="3"/>
  <c r="DG61" i="3"/>
  <c r="DF61" i="3"/>
  <c r="DE61" i="3"/>
  <c r="DD61" i="3"/>
  <c r="DC61" i="3"/>
  <c r="DB61" i="3"/>
  <c r="DA61" i="3"/>
  <c r="CZ61" i="3"/>
  <c r="CY61" i="3"/>
  <c r="CX61" i="3"/>
  <c r="CW61" i="3"/>
  <c r="CV61" i="3"/>
  <c r="CU61" i="3"/>
  <c r="CT61" i="3"/>
  <c r="CS61" i="3"/>
  <c r="CR61" i="3"/>
  <c r="CQ61" i="3"/>
  <c r="CP61" i="3"/>
  <c r="CO61" i="3"/>
  <c r="CN61" i="3"/>
  <c r="CM61" i="3"/>
  <c r="CL61" i="3"/>
  <c r="CK61" i="3"/>
  <c r="CJ61" i="3"/>
  <c r="CI61" i="3"/>
  <c r="CH61" i="3"/>
  <c r="CG61" i="3"/>
  <c r="CF61" i="3"/>
  <c r="CE61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DS60" i="3"/>
  <c r="DR60" i="3"/>
  <c r="DQ60" i="3"/>
  <c r="DP60" i="3"/>
  <c r="DO60" i="3"/>
  <c r="DN60" i="3"/>
  <c r="DM60" i="3"/>
  <c r="DL60" i="3"/>
  <c r="DK60" i="3"/>
  <c r="DJ60" i="3"/>
  <c r="DI60" i="3"/>
  <c r="DH60" i="3"/>
  <c r="DG60" i="3"/>
  <c r="DF60" i="3"/>
  <c r="DE60" i="3"/>
  <c r="DD60" i="3"/>
  <c r="DC60" i="3"/>
  <c r="DB60" i="3"/>
  <c r="DA60" i="3"/>
  <c r="CZ60" i="3"/>
  <c r="CY60" i="3"/>
  <c r="CX60" i="3"/>
  <c r="CW60" i="3"/>
  <c r="CV60" i="3"/>
  <c r="CU60" i="3"/>
  <c r="CT60" i="3"/>
  <c r="CS60" i="3"/>
  <c r="CR60" i="3"/>
  <c r="CQ60" i="3"/>
  <c r="CP60" i="3"/>
  <c r="CO60" i="3"/>
  <c r="CN60" i="3"/>
  <c r="CM60" i="3"/>
  <c r="CL60" i="3"/>
  <c r="CK60" i="3"/>
  <c r="CJ60" i="3"/>
  <c r="CI60" i="3"/>
  <c r="CH60" i="3"/>
  <c r="CG60" i="3"/>
  <c r="CF60" i="3"/>
  <c r="CE60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DS59" i="3"/>
  <c r="DR59" i="3"/>
  <c r="DQ59" i="3"/>
  <c r="DP59" i="3"/>
  <c r="DO59" i="3"/>
  <c r="DN59" i="3"/>
  <c r="DM59" i="3"/>
  <c r="DL59" i="3"/>
  <c r="DK59" i="3"/>
  <c r="DJ59" i="3"/>
  <c r="DI59" i="3"/>
  <c r="DH59" i="3"/>
  <c r="DG59" i="3"/>
  <c r="DF59" i="3"/>
  <c r="DE59" i="3"/>
  <c r="DD59" i="3"/>
  <c r="DC59" i="3"/>
  <c r="DB59" i="3"/>
  <c r="DA59" i="3"/>
  <c r="CZ59" i="3"/>
  <c r="CY59" i="3"/>
  <c r="CX59" i="3"/>
  <c r="CW59" i="3"/>
  <c r="CV59" i="3"/>
  <c r="CU59" i="3"/>
  <c r="CT59" i="3"/>
  <c r="CS59" i="3"/>
  <c r="CR59" i="3"/>
  <c r="CQ59" i="3"/>
  <c r="CP59" i="3"/>
  <c r="CO59" i="3"/>
  <c r="CN59" i="3"/>
  <c r="CM59" i="3"/>
  <c r="CL59" i="3"/>
  <c r="CK59" i="3"/>
  <c r="CJ59" i="3"/>
  <c r="CI59" i="3"/>
  <c r="CH59" i="3"/>
  <c r="CG59" i="3"/>
  <c r="CF59" i="3"/>
  <c r="CE59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DS58" i="3"/>
  <c r="DR58" i="3"/>
  <c r="DQ58" i="3"/>
  <c r="DP58" i="3"/>
  <c r="DO58" i="3"/>
  <c r="DN58" i="3"/>
  <c r="DM58" i="3"/>
  <c r="DL58" i="3"/>
  <c r="DK58" i="3"/>
  <c r="DJ58" i="3"/>
  <c r="DI58" i="3"/>
  <c r="DH58" i="3"/>
  <c r="DG58" i="3"/>
  <c r="DF58" i="3"/>
  <c r="DE58" i="3"/>
  <c r="DD58" i="3"/>
  <c r="DC58" i="3"/>
  <c r="DB58" i="3"/>
  <c r="DA58" i="3"/>
  <c r="CZ58" i="3"/>
  <c r="CY58" i="3"/>
  <c r="CX58" i="3"/>
  <c r="CW58" i="3"/>
  <c r="CV58" i="3"/>
  <c r="CU58" i="3"/>
  <c r="CT58" i="3"/>
  <c r="CS58" i="3"/>
  <c r="CR58" i="3"/>
  <c r="CQ58" i="3"/>
  <c r="CP58" i="3"/>
  <c r="CO58" i="3"/>
  <c r="CN58" i="3"/>
  <c r="CM58" i="3"/>
  <c r="CL58" i="3"/>
  <c r="CK58" i="3"/>
  <c r="CJ58" i="3"/>
  <c r="CI58" i="3"/>
  <c r="CH58" i="3"/>
  <c r="CG58" i="3"/>
  <c r="CF58" i="3"/>
  <c r="CE58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DS57" i="3"/>
  <c r="DR57" i="3"/>
  <c r="DQ57" i="3"/>
  <c r="DP57" i="3"/>
  <c r="DO57" i="3"/>
  <c r="DN57" i="3"/>
  <c r="DM57" i="3"/>
  <c r="DL57" i="3"/>
  <c r="DK57" i="3"/>
  <c r="DJ57" i="3"/>
  <c r="DI57" i="3"/>
  <c r="DH57" i="3"/>
  <c r="DG57" i="3"/>
  <c r="DF57" i="3"/>
  <c r="DE57" i="3"/>
  <c r="DD57" i="3"/>
  <c r="DC57" i="3"/>
  <c r="DB57" i="3"/>
  <c r="DA57" i="3"/>
  <c r="CZ57" i="3"/>
  <c r="CY57" i="3"/>
  <c r="CX57" i="3"/>
  <c r="CW57" i="3"/>
  <c r="CV57" i="3"/>
  <c r="CU57" i="3"/>
  <c r="CT57" i="3"/>
  <c r="CS57" i="3"/>
  <c r="CR57" i="3"/>
  <c r="CQ57" i="3"/>
  <c r="CP57" i="3"/>
  <c r="CO57" i="3"/>
  <c r="CN57" i="3"/>
  <c r="CM57" i="3"/>
  <c r="CL57" i="3"/>
  <c r="CK57" i="3"/>
  <c r="CJ57" i="3"/>
  <c r="CI57" i="3"/>
  <c r="CH57" i="3"/>
  <c r="CG57" i="3"/>
  <c r="CF57" i="3"/>
  <c r="CE57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DS56" i="3"/>
  <c r="DR56" i="3"/>
  <c r="DQ56" i="3"/>
  <c r="DP56" i="3"/>
  <c r="DO56" i="3"/>
  <c r="DN56" i="3"/>
  <c r="DM56" i="3"/>
  <c r="DL56" i="3"/>
  <c r="DK56" i="3"/>
  <c r="DJ56" i="3"/>
  <c r="DI56" i="3"/>
  <c r="DH56" i="3"/>
  <c r="DG56" i="3"/>
  <c r="DF56" i="3"/>
  <c r="DE56" i="3"/>
  <c r="DD56" i="3"/>
  <c r="DC56" i="3"/>
  <c r="DB56" i="3"/>
  <c r="DA56" i="3"/>
  <c r="CZ56" i="3"/>
  <c r="CY56" i="3"/>
  <c r="CX56" i="3"/>
  <c r="CW56" i="3"/>
  <c r="CV56" i="3"/>
  <c r="CU56" i="3"/>
  <c r="CT56" i="3"/>
  <c r="CS56" i="3"/>
  <c r="CR56" i="3"/>
  <c r="CQ56" i="3"/>
  <c r="CP56" i="3"/>
  <c r="CO56" i="3"/>
  <c r="CN56" i="3"/>
  <c r="CM56" i="3"/>
  <c r="CL56" i="3"/>
  <c r="CK56" i="3"/>
  <c r="CJ56" i="3"/>
  <c r="CI56" i="3"/>
  <c r="CH56" i="3"/>
  <c r="CG56" i="3"/>
  <c r="CF56" i="3"/>
  <c r="CE56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DS55" i="3"/>
  <c r="DR55" i="3"/>
  <c r="DQ55" i="3"/>
  <c r="DP55" i="3"/>
  <c r="DO55" i="3"/>
  <c r="DN55" i="3"/>
  <c r="DM55" i="3"/>
  <c r="DL55" i="3"/>
  <c r="DK55" i="3"/>
  <c r="DJ55" i="3"/>
  <c r="DI55" i="3"/>
  <c r="DH55" i="3"/>
  <c r="DG55" i="3"/>
  <c r="DF55" i="3"/>
  <c r="DE55" i="3"/>
  <c r="DD55" i="3"/>
  <c r="DC55" i="3"/>
  <c r="DB55" i="3"/>
  <c r="DA55" i="3"/>
  <c r="CZ55" i="3"/>
  <c r="CY55" i="3"/>
  <c r="CX55" i="3"/>
  <c r="CW55" i="3"/>
  <c r="CV55" i="3"/>
  <c r="CU55" i="3"/>
  <c r="CT55" i="3"/>
  <c r="CS55" i="3"/>
  <c r="CR55" i="3"/>
  <c r="CQ55" i="3"/>
  <c r="CP55" i="3"/>
  <c r="CO55" i="3"/>
  <c r="CN55" i="3"/>
  <c r="CM55" i="3"/>
  <c r="CL55" i="3"/>
  <c r="CK55" i="3"/>
  <c r="CJ55" i="3"/>
  <c r="CI55" i="3"/>
  <c r="CH55" i="3"/>
  <c r="CG55" i="3"/>
  <c r="CF55" i="3"/>
  <c r="CE55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DS54" i="3"/>
  <c r="DR54" i="3"/>
  <c r="DQ54" i="3"/>
  <c r="DP54" i="3"/>
  <c r="DO54" i="3"/>
  <c r="DN54" i="3"/>
  <c r="DM54" i="3"/>
  <c r="DL54" i="3"/>
  <c r="DK54" i="3"/>
  <c r="DJ54" i="3"/>
  <c r="DI54" i="3"/>
  <c r="DH54" i="3"/>
  <c r="DG54" i="3"/>
  <c r="DF54" i="3"/>
  <c r="DE54" i="3"/>
  <c r="DD54" i="3"/>
  <c r="DC54" i="3"/>
  <c r="DB54" i="3"/>
  <c r="DA54" i="3"/>
  <c r="CZ54" i="3"/>
  <c r="CY54" i="3"/>
  <c r="CX54" i="3"/>
  <c r="CW54" i="3"/>
  <c r="CV54" i="3"/>
  <c r="CU54" i="3"/>
  <c r="CT54" i="3"/>
  <c r="CS54" i="3"/>
  <c r="CR54" i="3"/>
  <c r="CQ54" i="3"/>
  <c r="CP54" i="3"/>
  <c r="CO54" i="3"/>
  <c r="CN54" i="3"/>
  <c r="CM54" i="3"/>
  <c r="CL54" i="3"/>
  <c r="CK54" i="3"/>
  <c r="CJ54" i="3"/>
  <c r="CI54" i="3"/>
  <c r="CH54" i="3"/>
  <c r="CG54" i="3"/>
  <c r="CF54" i="3"/>
  <c r="CE54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DS53" i="3"/>
  <c r="DR53" i="3"/>
  <c r="DQ53" i="3"/>
  <c r="DP53" i="3"/>
  <c r="DO53" i="3"/>
  <c r="DN53" i="3"/>
  <c r="DM53" i="3"/>
  <c r="DL53" i="3"/>
  <c r="DK53" i="3"/>
  <c r="DJ53" i="3"/>
  <c r="DI53" i="3"/>
  <c r="DH53" i="3"/>
  <c r="DG53" i="3"/>
  <c r="DF53" i="3"/>
  <c r="DE53" i="3"/>
  <c r="DD53" i="3"/>
  <c r="DC53" i="3"/>
  <c r="DB53" i="3"/>
  <c r="DA53" i="3"/>
  <c r="CZ53" i="3"/>
  <c r="CY53" i="3"/>
  <c r="CX53" i="3"/>
  <c r="CW53" i="3"/>
  <c r="CV53" i="3"/>
  <c r="CU53" i="3"/>
  <c r="CT53" i="3"/>
  <c r="CS53" i="3"/>
  <c r="CR53" i="3"/>
  <c r="CQ53" i="3"/>
  <c r="CP53" i="3"/>
  <c r="CO53" i="3"/>
  <c r="CN53" i="3"/>
  <c r="CM53" i="3"/>
  <c r="CL53" i="3"/>
  <c r="CK53" i="3"/>
  <c r="CJ53" i="3"/>
  <c r="CI53" i="3"/>
  <c r="CH53" i="3"/>
  <c r="CG53" i="3"/>
  <c r="CF53" i="3"/>
  <c r="CE53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A53" i="3"/>
  <c r="DS52" i="3"/>
  <c r="DR52" i="3"/>
  <c r="DQ52" i="3"/>
  <c r="DP52" i="3"/>
  <c r="DO52" i="3"/>
  <c r="DN52" i="3"/>
  <c r="DM52" i="3"/>
  <c r="DL52" i="3"/>
  <c r="DK52" i="3"/>
  <c r="DJ52" i="3"/>
  <c r="DI52" i="3"/>
  <c r="DH52" i="3"/>
  <c r="DG52" i="3"/>
  <c r="DF52" i="3"/>
  <c r="DE52" i="3"/>
  <c r="DD52" i="3"/>
  <c r="DC52" i="3"/>
  <c r="DB52" i="3"/>
  <c r="DA52" i="3"/>
  <c r="CZ52" i="3"/>
  <c r="CY52" i="3"/>
  <c r="CX52" i="3"/>
  <c r="CW52" i="3"/>
  <c r="CV52" i="3"/>
  <c r="CU52" i="3"/>
  <c r="CT52" i="3"/>
  <c r="CS52" i="3"/>
  <c r="CR52" i="3"/>
  <c r="CQ52" i="3"/>
  <c r="CP52" i="3"/>
  <c r="CO52" i="3"/>
  <c r="CN52" i="3"/>
  <c r="CM52" i="3"/>
  <c r="CL52" i="3"/>
  <c r="CK52" i="3"/>
  <c r="CJ52" i="3"/>
  <c r="CI52" i="3"/>
  <c r="CH52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52" i="3"/>
  <c r="B97" i="3" s="1"/>
  <c r="A52" i="3"/>
  <c r="DS51" i="3"/>
  <c r="DR51" i="3"/>
  <c r="DQ51" i="3"/>
  <c r="DP51" i="3"/>
  <c r="DO51" i="3"/>
  <c r="DN51" i="3"/>
  <c r="DM51" i="3"/>
  <c r="DL51" i="3"/>
  <c r="DK51" i="3"/>
  <c r="DJ51" i="3"/>
  <c r="DI51" i="3"/>
  <c r="DH51" i="3"/>
  <c r="DG51" i="3"/>
  <c r="DF51" i="3"/>
  <c r="DE51" i="3"/>
  <c r="DD51" i="3"/>
  <c r="DC51" i="3"/>
  <c r="DB51" i="3"/>
  <c r="DA51" i="3"/>
  <c r="CZ51" i="3"/>
  <c r="CY51" i="3"/>
  <c r="CX51" i="3"/>
  <c r="CW51" i="3"/>
  <c r="CV51" i="3"/>
  <c r="CU51" i="3"/>
  <c r="CT51" i="3"/>
  <c r="CS51" i="3"/>
  <c r="CR51" i="3"/>
  <c r="CQ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A51" i="3"/>
  <c r="DS50" i="3"/>
  <c r="DR50" i="3"/>
  <c r="DQ50" i="3"/>
  <c r="DP50" i="3"/>
  <c r="DO50" i="3"/>
  <c r="DN50" i="3"/>
  <c r="DM50" i="3"/>
  <c r="DL50" i="3"/>
  <c r="DK50" i="3"/>
  <c r="DJ50" i="3"/>
  <c r="DI50" i="3"/>
  <c r="DH50" i="3"/>
  <c r="DG50" i="3"/>
  <c r="DF50" i="3"/>
  <c r="DE50" i="3"/>
  <c r="DD50" i="3"/>
  <c r="DC50" i="3"/>
  <c r="DB50" i="3"/>
  <c r="DA50" i="3"/>
  <c r="CZ50" i="3"/>
  <c r="CY50" i="3"/>
  <c r="CX50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50" i="3"/>
  <c r="C51" i="3" s="1"/>
  <c r="A50" i="3"/>
  <c r="DS49" i="3"/>
  <c r="DR49" i="3"/>
  <c r="DQ49" i="3"/>
  <c r="DP49" i="3"/>
  <c r="DO49" i="3"/>
  <c r="DN49" i="3"/>
  <c r="DM49" i="3"/>
  <c r="DL49" i="3"/>
  <c r="DK49" i="3"/>
  <c r="DJ49" i="3"/>
  <c r="DI49" i="3"/>
  <c r="DH49" i="3"/>
  <c r="DG49" i="3"/>
  <c r="DF49" i="3"/>
  <c r="DE49" i="3"/>
  <c r="DD49" i="3"/>
  <c r="DC49" i="3"/>
  <c r="DB49" i="3"/>
  <c r="DA49" i="3"/>
  <c r="CZ49" i="3"/>
  <c r="CY49" i="3"/>
  <c r="CX49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C49" i="3"/>
  <c r="B49" i="3"/>
  <c r="A49" i="3"/>
  <c r="DS48" i="3"/>
  <c r="DR48" i="3"/>
  <c r="DQ48" i="3"/>
  <c r="DP48" i="3"/>
  <c r="DO48" i="3"/>
  <c r="DN48" i="3"/>
  <c r="DM48" i="3"/>
  <c r="DL48" i="3"/>
  <c r="DK48" i="3"/>
  <c r="DJ48" i="3"/>
  <c r="DI48" i="3"/>
  <c r="DH48" i="3"/>
  <c r="DG48" i="3"/>
  <c r="DF48" i="3"/>
  <c r="DE48" i="3"/>
  <c r="DD48" i="3"/>
  <c r="DC48" i="3"/>
  <c r="DB48" i="3"/>
  <c r="DA48" i="3"/>
  <c r="CZ48" i="3"/>
  <c r="CY48" i="3"/>
  <c r="CX48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48" i="3"/>
  <c r="A48" i="3"/>
  <c r="DS47" i="3"/>
  <c r="DR47" i="3"/>
  <c r="DQ47" i="3"/>
  <c r="DP47" i="3"/>
  <c r="DO47" i="3"/>
  <c r="DN47" i="3"/>
  <c r="DM47" i="3"/>
  <c r="DL47" i="3"/>
  <c r="DK47" i="3"/>
  <c r="DJ47" i="3"/>
  <c r="DI47" i="3"/>
  <c r="DH47" i="3"/>
  <c r="DG47" i="3"/>
  <c r="DF47" i="3"/>
  <c r="DE47" i="3"/>
  <c r="DD47" i="3"/>
  <c r="DC47" i="3"/>
  <c r="DB47" i="3"/>
  <c r="DA47" i="3"/>
  <c r="CZ47" i="3"/>
  <c r="CY47" i="3"/>
  <c r="CX47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DS46" i="3"/>
  <c r="DR46" i="3"/>
  <c r="DQ46" i="3"/>
  <c r="DP46" i="3"/>
  <c r="DO46" i="3"/>
  <c r="DN46" i="3"/>
  <c r="DM46" i="3"/>
  <c r="DL46" i="3"/>
  <c r="DK46" i="3"/>
  <c r="DJ46" i="3"/>
  <c r="DI46" i="3"/>
  <c r="DH46" i="3"/>
  <c r="DG46" i="3"/>
  <c r="DF46" i="3"/>
  <c r="DE46" i="3"/>
  <c r="DD46" i="3"/>
  <c r="DC46" i="3"/>
  <c r="DB46" i="3"/>
  <c r="DA46" i="3"/>
  <c r="CZ46" i="3"/>
  <c r="CY46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A46" i="3"/>
  <c r="DS45" i="3"/>
  <c r="DR45" i="3"/>
  <c r="DQ45" i="3"/>
  <c r="DP45" i="3"/>
  <c r="DO45" i="3"/>
  <c r="DN45" i="3"/>
  <c r="DM45" i="3"/>
  <c r="DL45" i="3"/>
  <c r="DK45" i="3"/>
  <c r="DJ45" i="3"/>
  <c r="DI45" i="3"/>
  <c r="DH45" i="3"/>
  <c r="DG45" i="3"/>
  <c r="DF45" i="3"/>
  <c r="DE45" i="3"/>
  <c r="DD45" i="3"/>
  <c r="DC45" i="3"/>
  <c r="DB45" i="3"/>
  <c r="DA45" i="3"/>
  <c r="CZ45" i="3"/>
  <c r="CY45" i="3"/>
  <c r="CX45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45" i="3"/>
  <c r="DS44" i="3"/>
  <c r="DR44" i="3"/>
  <c r="DQ44" i="3"/>
  <c r="DP44" i="3"/>
  <c r="DO44" i="3"/>
  <c r="DN44" i="3"/>
  <c r="DM44" i="3"/>
  <c r="DL44" i="3"/>
  <c r="DK44" i="3"/>
  <c r="DJ44" i="3"/>
  <c r="DI44" i="3"/>
  <c r="DH44" i="3"/>
  <c r="DG44" i="3"/>
  <c r="DF44" i="3"/>
  <c r="DE44" i="3"/>
  <c r="DD44" i="3"/>
  <c r="DC44" i="3"/>
  <c r="DB44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DS43" i="3"/>
  <c r="DR43" i="3"/>
  <c r="DQ43" i="3"/>
  <c r="DP43" i="3"/>
  <c r="DO43" i="3"/>
  <c r="DN43" i="3"/>
  <c r="DM43" i="3"/>
  <c r="DL43" i="3"/>
  <c r="DK43" i="3"/>
  <c r="DJ43" i="3"/>
  <c r="DI43" i="3"/>
  <c r="DH43" i="3"/>
  <c r="DG43" i="3"/>
  <c r="DF43" i="3"/>
  <c r="DE43" i="3"/>
  <c r="DD43" i="3"/>
  <c r="DC43" i="3"/>
  <c r="DB43" i="3"/>
  <c r="DA43" i="3"/>
  <c r="CZ43" i="3"/>
  <c r="CY43" i="3"/>
  <c r="CX43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DS42" i="3"/>
  <c r="DR42" i="3"/>
  <c r="DQ42" i="3"/>
  <c r="DP42" i="3"/>
  <c r="DO42" i="3"/>
  <c r="DN42" i="3"/>
  <c r="DM42" i="3"/>
  <c r="DL42" i="3"/>
  <c r="DK42" i="3"/>
  <c r="DJ42" i="3"/>
  <c r="DI42" i="3"/>
  <c r="DH42" i="3"/>
  <c r="DG42" i="3"/>
  <c r="DF42" i="3"/>
  <c r="DE42" i="3"/>
  <c r="DD42" i="3"/>
  <c r="DC42" i="3"/>
  <c r="DB42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DS41" i="3"/>
  <c r="DR41" i="3"/>
  <c r="DQ41" i="3"/>
  <c r="DP41" i="3"/>
  <c r="DO41" i="3"/>
  <c r="DN41" i="3"/>
  <c r="DM41" i="3"/>
  <c r="DL41" i="3"/>
  <c r="DK41" i="3"/>
  <c r="DJ41" i="3"/>
  <c r="DI41" i="3"/>
  <c r="DH41" i="3"/>
  <c r="DG41" i="3"/>
  <c r="DF41" i="3"/>
  <c r="DE41" i="3"/>
  <c r="DD41" i="3"/>
  <c r="DC41" i="3"/>
  <c r="DB41" i="3"/>
  <c r="DA41" i="3"/>
  <c r="CZ41" i="3"/>
  <c r="CY41" i="3"/>
  <c r="CX41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DS40" i="3"/>
  <c r="DR40" i="3"/>
  <c r="DQ40" i="3"/>
  <c r="DP40" i="3"/>
  <c r="DO40" i="3"/>
  <c r="DN40" i="3"/>
  <c r="DM40" i="3"/>
  <c r="DL40" i="3"/>
  <c r="DK40" i="3"/>
  <c r="DJ40" i="3"/>
  <c r="DI40" i="3"/>
  <c r="DH40" i="3"/>
  <c r="DG40" i="3"/>
  <c r="DF40" i="3"/>
  <c r="DE40" i="3"/>
  <c r="DD40" i="3"/>
  <c r="DC40" i="3"/>
  <c r="DB40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DS39" i="3"/>
  <c r="DR39" i="3"/>
  <c r="DQ39" i="3"/>
  <c r="DP39" i="3"/>
  <c r="DO39" i="3"/>
  <c r="DN39" i="3"/>
  <c r="DM39" i="3"/>
  <c r="DL39" i="3"/>
  <c r="DK39" i="3"/>
  <c r="DJ39" i="3"/>
  <c r="DI39" i="3"/>
  <c r="DH39" i="3"/>
  <c r="DG39" i="3"/>
  <c r="DF39" i="3"/>
  <c r="DE39" i="3"/>
  <c r="DD39" i="3"/>
  <c r="DC39" i="3"/>
  <c r="DB39" i="3"/>
  <c r="DA39" i="3"/>
  <c r="CZ39" i="3"/>
  <c r="CY39" i="3"/>
  <c r="CX39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DS38" i="3"/>
  <c r="DR38" i="3"/>
  <c r="DQ38" i="3"/>
  <c r="DP38" i="3"/>
  <c r="DO38" i="3"/>
  <c r="DN38" i="3"/>
  <c r="DM38" i="3"/>
  <c r="DL38" i="3"/>
  <c r="DK38" i="3"/>
  <c r="DJ38" i="3"/>
  <c r="DI38" i="3"/>
  <c r="DH38" i="3"/>
  <c r="DG38" i="3"/>
  <c r="DF38" i="3"/>
  <c r="DE38" i="3"/>
  <c r="DD38" i="3"/>
  <c r="DC38" i="3"/>
  <c r="DB38" i="3"/>
  <c r="DA38" i="3"/>
  <c r="CZ38" i="3"/>
  <c r="CY38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DS37" i="3"/>
  <c r="DR37" i="3"/>
  <c r="DQ37" i="3"/>
  <c r="DP37" i="3"/>
  <c r="DO37" i="3"/>
  <c r="DN37" i="3"/>
  <c r="DM37" i="3"/>
  <c r="DL37" i="3"/>
  <c r="DK37" i="3"/>
  <c r="DJ37" i="3"/>
  <c r="DI37" i="3"/>
  <c r="DH37" i="3"/>
  <c r="DG37" i="3"/>
  <c r="DF37" i="3"/>
  <c r="DE37" i="3"/>
  <c r="DD37" i="3"/>
  <c r="DC37" i="3"/>
  <c r="DB37" i="3"/>
  <c r="DA37" i="3"/>
  <c r="CZ37" i="3"/>
  <c r="CY37" i="3"/>
  <c r="CX37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E37" i="3"/>
  <c r="E88" i="3" s="1"/>
  <c r="D37" i="3"/>
  <c r="D88" i="3" s="1"/>
  <c r="C37" i="3"/>
  <c r="C88" i="3" s="1"/>
  <c r="B37" i="3"/>
  <c r="A37" i="3"/>
  <c r="A88" i="3" s="1"/>
  <c r="DS36" i="3"/>
  <c r="DR36" i="3"/>
  <c r="DQ36" i="3"/>
  <c r="DP36" i="3"/>
  <c r="DO36" i="3"/>
  <c r="DN36" i="3"/>
  <c r="DM36" i="3"/>
  <c r="DL36" i="3"/>
  <c r="DK36" i="3"/>
  <c r="DJ36" i="3"/>
  <c r="DI36" i="3"/>
  <c r="DH36" i="3"/>
  <c r="DG36" i="3"/>
  <c r="DF36" i="3"/>
  <c r="DE36" i="3"/>
  <c r="DD36" i="3"/>
  <c r="DC36" i="3"/>
  <c r="DB36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E36" i="3"/>
  <c r="E87" i="3" s="1"/>
  <c r="D36" i="3"/>
  <c r="D87" i="3" s="1"/>
  <c r="C36" i="3"/>
  <c r="C87" i="3" s="1"/>
  <c r="B36" i="3"/>
  <c r="B87" i="3" s="1"/>
  <c r="A36" i="3"/>
  <c r="A87" i="3" s="1"/>
  <c r="DS35" i="3"/>
  <c r="DR35" i="3"/>
  <c r="DQ35" i="3"/>
  <c r="DP35" i="3"/>
  <c r="DO35" i="3"/>
  <c r="DN35" i="3"/>
  <c r="DM35" i="3"/>
  <c r="DL35" i="3"/>
  <c r="DK35" i="3"/>
  <c r="DJ35" i="3"/>
  <c r="DI35" i="3"/>
  <c r="DH35" i="3"/>
  <c r="DG35" i="3"/>
  <c r="DF35" i="3"/>
  <c r="DE35" i="3"/>
  <c r="DD35" i="3"/>
  <c r="DC35" i="3"/>
  <c r="DB35" i="3"/>
  <c r="DA35" i="3"/>
  <c r="CZ35" i="3"/>
  <c r="CY35" i="3"/>
  <c r="CX35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E35" i="3"/>
  <c r="E86" i="3" s="1"/>
  <c r="D35" i="3"/>
  <c r="D86" i="3" s="1"/>
  <c r="C35" i="3"/>
  <c r="C86" i="3" s="1"/>
  <c r="B35" i="3"/>
  <c r="B86" i="3" s="1"/>
  <c r="A35" i="3"/>
  <c r="A86" i="3" s="1"/>
  <c r="DS34" i="3"/>
  <c r="DR34" i="3"/>
  <c r="DQ34" i="3"/>
  <c r="DP34" i="3"/>
  <c r="DO34" i="3"/>
  <c r="DN34" i="3"/>
  <c r="DM34" i="3"/>
  <c r="DL34" i="3"/>
  <c r="DK34" i="3"/>
  <c r="DJ34" i="3"/>
  <c r="DI34" i="3"/>
  <c r="DH34" i="3"/>
  <c r="DG34" i="3"/>
  <c r="DF34" i="3"/>
  <c r="DE34" i="3"/>
  <c r="DD34" i="3"/>
  <c r="DC34" i="3"/>
  <c r="DB34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E34" i="3"/>
  <c r="E85" i="3" s="1"/>
  <c r="D34" i="3"/>
  <c r="D85" i="3" s="1"/>
  <c r="C34" i="3"/>
  <c r="C85" i="3" s="1"/>
  <c r="B34" i="3"/>
  <c r="A34" i="3"/>
  <c r="A85" i="3" s="1"/>
  <c r="DS33" i="3"/>
  <c r="DR33" i="3"/>
  <c r="DQ33" i="3"/>
  <c r="DP33" i="3"/>
  <c r="DO33" i="3"/>
  <c r="DN33" i="3"/>
  <c r="DM33" i="3"/>
  <c r="DL33" i="3"/>
  <c r="DK33" i="3"/>
  <c r="DJ33" i="3"/>
  <c r="DI33" i="3"/>
  <c r="DH33" i="3"/>
  <c r="DG33" i="3"/>
  <c r="DF33" i="3"/>
  <c r="DE33" i="3"/>
  <c r="DD33" i="3"/>
  <c r="DC33" i="3"/>
  <c r="DB33" i="3"/>
  <c r="DA33" i="3"/>
  <c r="CZ33" i="3"/>
  <c r="CY33" i="3"/>
  <c r="CX33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E33" i="3"/>
  <c r="E84" i="3" s="1"/>
  <c r="D33" i="3"/>
  <c r="D84" i="3" s="1"/>
  <c r="C33" i="3"/>
  <c r="C84" i="3" s="1"/>
  <c r="B33" i="3"/>
  <c r="B84" i="3" s="1"/>
  <c r="A33" i="3"/>
  <c r="A84" i="3" s="1"/>
  <c r="DS32" i="3"/>
  <c r="DR32" i="3"/>
  <c r="DQ32" i="3"/>
  <c r="DP32" i="3"/>
  <c r="DO32" i="3"/>
  <c r="DN32" i="3"/>
  <c r="DM32" i="3"/>
  <c r="DL32" i="3"/>
  <c r="DK32" i="3"/>
  <c r="DJ32" i="3"/>
  <c r="DI32" i="3"/>
  <c r="DH32" i="3"/>
  <c r="DG32" i="3"/>
  <c r="DF32" i="3"/>
  <c r="DE32" i="3"/>
  <c r="DD32" i="3"/>
  <c r="DC32" i="3"/>
  <c r="DB32" i="3"/>
  <c r="DA32" i="3"/>
  <c r="CZ32" i="3"/>
  <c r="CY32" i="3"/>
  <c r="CX32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E32" i="3"/>
  <c r="E83" i="3" s="1"/>
  <c r="D32" i="3"/>
  <c r="C32" i="3"/>
  <c r="B32" i="3"/>
  <c r="B83" i="3" s="1"/>
  <c r="A32" i="3"/>
  <c r="A83" i="3" s="1"/>
  <c r="DS31" i="3"/>
  <c r="DR31" i="3"/>
  <c r="DQ31" i="3"/>
  <c r="DP31" i="3"/>
  <c r="DO31" i="3"/>
  <c r="DN31" i="3"/>
  <c r="DM31" i="3"/>
  <c r="DL31" i="3"/>
  <c r="DK31" i="3"/>
  <c r="DJ31" i="3"/>
  <c r="DI31" i="3"/>
  <c r="DH31" i="3"/>
  <c r="DG31" i="3"/>
  <c r="DF31" i="3"/>
  <c r="DE31" i="3"/>
  <c r="DD31" i="3"/>
  <c r="DC31" i="3"/>
  <c r="DB31" i="3"/>
  <c r="DA31" i="3"/>
  <c r="CZ31" i="3"/>
  <c r="CY31" i="3"/>
  <c r="CX31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E31" i="3"/>
  <c r="E82" i="3" s="1"/>
  <c r="D31" i="3"/>
  <c r="D82" i="3" s="1"/>
  <c r="C31" i="3"/>
  <c r="C82" i="3" s="1"/>
  <c r="B31" i="3"/>
  <c r="B82" i="3" s="1"/>
  <c r="A31" i="3"/>
  <c r="A82" i="3" s="1"/>
  <c r="DS30" i="3"/>
  <c r="DR30" i="3"/>
  <c r="DQ30" i="3"/>
  <c r="DP30" i="3"/>
  <c r="DO30" i="3"/>
  <c r="DN30" i="3"/>
  <c r="DM30" i="3"/>
  <c r="DL30" i="3"/>
  <c r="DK30" i="3"/>
  <c r="DJ30" i="3"/>
  <c r="DI30" i="3"/>
  <c r="DH30" i="3"/>
  <c r="DG30" i="3"/>
  <c r="DF30" i="3"/>
  <c r="DE30" i="3"/>
  <c r="DD30" i="3"/>
  <c r="DC30" i="3"/>
  <c r="DB30" i="3"/>
  <c r="DA30" i="3"/>
  <c r="CZ30" i="3"/>
  <c r="CY30" i="3"/>
  <c r="CX30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E30" i="3"/>
  <c r="E81" i="3" s="1"/>
  <c r="D30" i="3"/>
  <c r="D81" i="3" s="1"/>
  <c r="C30" i="3"/>
  <c r="C81" i="3" s="1"/>
  <c r="B30" i="3"/>
  <c r="B81" i="3" s="1"/>
  <c r="A30" i="3"/>
  <c r="A81" i="3" s="1"/>
  <c r="DS29" i="3"/>
  <c r="DR29" i="3"/>
  <c r="DQ29" i="3"/>
  <c r="DP29" i="3"/>
  <c r="DO29" i="3"/>
  <c r="DN29" i="3"/>
  <c r="DM29" i="3"/>
  <c r="DL29" i="3"/>
  <c r="DK29" i="3"/>
  <c r="DJ29" i="3"/>
  <c r="DI29" i="3"/>
  <c r="DH29" i="3"/>
  <c r="DG29" i="3"/>
  <c r="DF29" i="3"/>
  <c r="DE29" i="3"/>
  <c r="DD29" i="3"/>
  <c r="DC29" i="3"/>
  <c r="DB29" i="3"/>
  <c r="DA29" i="3"/>
  <c r="CZ29" i="3"/>
  <c r="CY29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E29" i="3"/>
  <c r="E80" i="3" s="1"/>
  <c r="D29" i="3"/>
  <c r="D80" i="3" s="1"/>
  <c r="C29" i="3"/>
  <c r="C80" i="3" s="1"/>
  <c r="B29" i="3"/>
  <c r="B80" i="3" s="1"/>
  <c r="A29" i="3"/>
  <c r="A80" i="3" s="1"/>
  <c r="DS28" i="3"/>
  <c r="DR28" i="3"/>
  <c r="DQ28" i="3"/>
  <c r="DP28" i="3"/>
  <c r="DO28" i="3"/>
  <c r="DN28" i="3"/>
  <c r="DM28" i="3"/>
  <c r="DL28" i="3"/>
  <c r="DK28" i="3"/>
  <c r="DJ28" i="3"/>
  <c r="DI28" i="3"/>
  <c r="DH28" i="3"/>
  <c r="DG28" i="3"/>
  <c r="DF28" i="3"/>
  <c r="DE28" i="3"/>
  <c r="DD28" i="3"/>
  <c r="DC28" i="3"/>
  <c r="DB28" i="3"/>
  <c r="DA28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E28" i="3"/>
  <c r="E79" i="3" s="1"/>
  <c r="D28" i="3"/>
  <c r="D79" i="3" s="1"/>
  <c r="C28" i="3"/>
  <c r="C79" i="3" s="1"/>
  <c r="B28" i="3"/>
  <c r="B79" i="3" s="1"/>
  <c r="A28" i="3"/>
  <c r="A79" i="3" s="1"/>
  <c r="DS27" i="3"/>
  <c r="DR27" i="3"/>
  <c r="DQ27" i="3"/>
  <c r="DP27" i="3"/>
  <c r="DO27" i="3"/>
  <c r="DN27" i="3"/>
  <c r="DM27" i="3"/>
  <c r="DL27" i="3"/>
  <c r="DK27" i="3"/>
  <c r="DJ27" i="3"/>
  <c r="DI27" i="3"/>
  <c r="DH27" i="3"/>
  <c r="DG27" i="3"/>
  <c r="DF27" i="3"/>
  <c r="DE27" i="3"/>
  <c r="DD27" i="3"/>
  <c r="DC27" i="3"/>
  <c r="DB27" i="3"/>
  <c r="DA27" i="3"/>
  <c r="CZ27" i="3"/>
  <c r="CY27" i="3"/>
  <c r="CX27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E27" i="3"/>
  <c r="E78" i="3" s="1"/>
  <c r="D27" i="3"/>
  <c r="D78" i="3" s="1"/>
  <c r="C27" i="3"/>
  <c r="C78" i="3" s="1"/>
  <c r="B27" i="3"/>
  <c r="B78" i="3" s="1"/>
  <c r="A27" i="3"/>
  <c r="A78" i="3" s="1"/>
  <c r="DS26" i="3"/>
  <c r="DR26" i="3"/>
  <c r="DQ26" i="3"/>
  <c r="DP26" i="3"/>
  <c r="DO26" i="3"/>
  <c r="DN26" i="3"/>
  <c r="DM26" i="3"/>
  <c r="DL26" i="3"/>
  <c r="DK26" i="3"/>
  <c r="DJ26" i="3"/>
  <c r="DI26" i="3"/>
  <c r="DH26" i="3"/>
  <c r="DG26" i="3"/>
  <c r="DF26" i="3"/>
  <c r="DE26" i="3"/>
  <c r="DD26" i="3"/>
  <c r="DC26" i="3"/>
  <c r="DB26" i="3"/>
  <c r="DA26" i="3"/>
  <c r="CZ26" i="3"/>
  <c r="CY26" i="3"/>
  <c r="CX26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E26" i="3"/>
  <c r="E77" i="3" s="1"/>
  <c r="D26" i="3"/>
  <c r="D77" i="3" s="1"/>
  <c r="C26" i="3"/>
  <c r="C77" i="3" s="1"/>
  <c r="B26" i="3"/>
  <c r="B77" i="3" s="1"/>
  <c r="A26" i="3"/>
  <c r="A77" i="3" s="1"/>
  <c r="DS25" i="3"/>
  <c r="DR25" i="3"/>
  <c r="DQ25" i="3"/>
  <c r="DP25" i="3"/>
  <c r="DO25" i="3"/>
  <c r="DN25" i="3"/>
  <c r="DM25" i="3"/>
  <c r="DL25" i="3"/>
  <c r="DK25" i="3"/>
  <c r="DJ25" i="3"/>
  <c r="DI25" i="3"/>
  <c r="DH25" i="3"/>
  <c r="DG25" i="3"/>
  <c r="DF25" i="3"/>
  <c r="DE25" i="3"/>
  <c r="DD25" i="3"/>
  <c r="DC25" i="3"/>
  <c r="DB25" i="3"/>
  <c r="DA25" i="3"/>
  <c r="CZ25" i="3"/>
  <c r="CY25" i="3"/>
  <c r="CX25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E25" i="3"/>
  <c r="E76" i="3" s="1"/>
  <c r="D25" i="3"/>
  <c r="D76" i="3" s="1"/>
  <c r="C25" i="3"/>
  <c r="C76" i="3" s="1"/>
  <c r="B25" i="3"/>
  <c r="B76" i="3" s="1"/>
  <c r="A25" i="3"/>
  <c r="A76" i="3" s="1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E24" i="3"/>
  <c r="E75" i="3" s="1"/>
  <c r="D24" i="3"/>
  <c r="D75" i="3" s="1"/>
  <c r="C24" i="3"/>
  <c r="C75" i="3" s="1"/>
  <c r="B24" i="3"/>
  <c r="B75" i="3" s="1"/>
  <c r="A24" i="3"/>
  <c r="A75" i="3" s="1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E23" i="3"/>
  <c r="E74" i="3" s="1"/>
  <c r="D23" i="3"/>
  <c r="D74" i="3" s="1"/>
  <c r="C23" i="3"/>
  <c r="C74" i="3" s="1"/>
  <c r="B23" i="3"/>
  <c r="B74" i="3" s="1"/>
  <c r="A23" i="3"/>
  <c r="A74" i="3" s="1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E22" i="3"/>
  <c r="E73" i="3" s="1"/>
  <c r="D22" i="3"/>
  <c r="D73" i="3" s="1"/>
  <c r="C22" i="3"/>
  <c r="C73" i="3" s="1"/>
  <c r="B22" i="3"/>
  <c r="B73" i="3" s="1"/>
  <c r="A22" i="3"/>
  <c r="A73" i="3" s="1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E21" i="3"/>
  <c r="E72" i="3" s="1"/>
  <c r="D21" i="3"/>
  <c r="D72" i="3" s="1"/>
  <c r="C21" i="3"/>
  <c r="C72" i="3" s="1"/>
  <c r="B21" i="3"/>
  <c r="B72" i="3" s="1"/>
  <c r="A21" i="3"/>
  <c r="A72" i="3" s="1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E20" i="3"/>
  <c r="E71" i="3" s="1"/>
  <c r="D20" i="3"/>
  <c r="D71" i="3" s="1"/>
  <c r="C20" i="3"/>
  <c r="C71" i="3" s="1"/>
  <c r="B20" i="3"/>
  <c r="B71" i="3" s="1"/>
  <c r="A20" i="3"/>
  <c r="A71" i="3" s="1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E19" i="3"/>
  <c r="E70" i="3" s="1"/>
  <c r="D19" i="3"/>
  <c r="D70" i="3" s="1"/>
  <c r="C19" i="3"/>
  <c r="C70" i="3" s="1"/>
  <c r="B19" i="3"/>
  <c r="B70" i="3" s="1"/>
  <c r="A19" i="3"/>
  <c r="A70" i="3" s="1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E18" i="3"/>
  <c r="E69" i="3" s="1"/>
  <c r="D18" i="3"/>
  <c r="D69" i="3" s="1"/>
  <c r="C18" i="3"/>
  <c r="C69" i="3" s="1"/>
  <c r="B18" i="3"/>
  <c r="B69" i="3" s="1"/>
  <c r="A18" i="3"/>
  <c r="A69" i="3" s="1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E17" i="3"/>
  <c r="B17" i="3"/>
  <c r="A17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E16" i="3"/>
  <c r="E68" i="3" s="1"/>
  <c r="D16" i="3"/>
  <c r="D68" i="3" s="1"/>
  <c r="C16" i="3"/>
  <c r="C68" i="3" s="1"/>
  <c r="B16" i="3"/>
  <c r="B68" i="3" s="1"/>
  <c r="A16" i="3"/>
  <c r="A68" i="3" s="1"/>
  <c r="DS15" i="3"/>
  <c r="DR15" i="3"/>
  <c r="DQ15" i="3"/>
  <c r="DP15" i="3"/>
  <c r="DO15" i="3"/>
  <c r="DN15" i="3"/>
  <c r="DM15" i="3"/>
  <c r="DL15" i="3"/>
  <c r="DK15" i="3"/>
  <c r="DJ15" i="3"/>
  <c r="DI15" i="3"/>
  <c r="DH15" i="3"/>
  <c r="DG15" i="3"/>
  <c r="DF15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E15" i="3"/>
  <c r="E67" i="3" s="1"/>
  <c r="D15" i="3"/>
  <c r="D67" i="3" s="1"/>
  <c r="C15" i="3"/>
  <c r="C67" i="3" s="1"/>
  <c r="B15" i="3"/>
  <c r="B67" i="3" s="1"/>
  <c r="A15" i="3"/>
  <c r="A67" i="3" s="1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E14" i="3"/>
  <c r="E66" i="3" s="1"/>
  <c r="D14" i="3"/>
  <c r="D66" i="3" s="1"/>
  <c r="C14" i="3"/>
  <c r="C66" i="3" s="1"/>
  <c r="B14" i="3"/>
  <c r="B66" i="3" s="1"/>
  <c r="A14" i="3"/>
  <c r="A66" i="3" s="1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E13" i="3"/>
  <c r="E65" i="3" s="1"/>
  <c r="D13" i="3"/>
  <c r="D65" i="3" s="1"/>
  <c r="C13" i="3"/>
  <c r="C65" i="3" s="1"/>
  <c r="B13" i="3"/>
  <c r="B65" i="3" s="1"/>
  <c r="A13" i="3"/>
  <c r="A65" i="3" s="1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E12" i="3"/>
  <c r="E64" i="3" s="1"/>
  <c r="D12" i="3"/>
  <c r="D64" i="3" s="1"/>
  <c r="C12" i="3"/>
  <c r="C64" i="3" s="1"/>
  <c r="B12" i="3"/>
  <c r="B64" i="3" s="1"/>
  <c r="A12" i="3"/>
  <c r="A64" i="3" s="1"/>
  <c r="DS11" i="3"/>
  <c r="DR11" i="3"/>
  <c r="DQ11" i="3"/>
  <c r="DP11" i="3"/>
  <c r="DO11" i="3"/>
  <c r="DN11" i="3"/>
  <c r="DM11" i="3"/>
  <c r="DL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E11" i="3"/>
  <c r="E63" i="3" s="1"/>
  <c r="D11" i="3"/>
  <c r="D63" i="3" s="1"/>
  <c r="C11" i="3"/>
  <c r="C63" i="3" s="1"/>
  <c r="B11" i="3"/>
  <c r="B63" i="3" s="1"/>
  <c r="A11" i="3"/>
  <c r="A63" i="3" s="1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E10" i="3"/>
  <c r="E62" i="3" s="1"/>
  <c r="D10" i="3"/>
  <c r="D62" i="3" s="1"/>
  <c r="C10" i="3"/>
  <c r="C62" i="3" s="1"/>
  <c r="B10" i="3"/>
  <c r="B62" i="3" s="1"/>
  <c r="A10" i="3"/>
  <c r="A62" i="3" s="1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E9" i="3"/>
  <c r="E61" i="3" s="1"/>
  <c r="D9" i="3"/>
  <c r="D61" i="3" s="1"/>
  <c r="C9" i="3"/>
  <c r="C61" i="3" s="1"/>
  <c r="B9" i="3"/>
  <c r="B61" i="3" s="1"/>
  <c r="A9" i="3"/>
  <c r="A61" i="3" s="1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E8" i="3"/>
  <c r="E60" i="3" s="1"/>
  <c r="D8" i="3"/>
  <c r="D60" i="3" s="1"/>
  <c r="C8" i="3"/>
  <c r="C60" i="3" s="1"/>
  <c r="B8" i="3"/>
  <c r="B60" i="3" s="1"/>
  <c r="A8" i="3"/>
  <c r="A60" i="3" s="1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E7" i="3"/>
  <c r="E59" i="3" s="1"/>
  <c r="D7" i="3"/>
  <c r="D59" i="3" s="1"/>
  <c r="C7" i="3"/>
  <c r="C59" i="3" s="1"/>
  <c r="B7" i="3"/>
  <c r="B59" i="3" s="1"/>
  <c r="A7" i="3"/>
  <c r="A59" i="3" s="1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E6" i="3"/>
  <c r="E58" i="3" s="1"/>
  <c r="D6" i="3"/>
  <c r="D58" i="3" s="1"/>
  <c r="C6" i="3"/>
  <c r="C58" i="3" s="1"/>
  <c r="B6" i="3"/>
  <c r="B58" i="3" s="1"/>
  <c r="A6" i="3"/>
  <c r="A58" i="3" s="1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E5" i="3"/>
  <c r="E57" i="3" s="1"/>
  <c r="D5" i="3"/>
  <c r="D57" i="3" s="1"/>
  <c r="C5" i="3"/>
  <c r="C57" i="3" s="1"/>
  <c r="B5" i="3"/>
  <c r="B57" i="3" s="1"/>
  <c r="A5" i="3"/>
  <c r="A57" i="3" s="1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E4" i="3"/>
  <c r="E56" i="3" s="1"/>
  <c r="D4" i="3"/>
  <c r="D56" i="3" s="1"/>
  <c r="C4" i="3"/>
  <c r="C56" i="3" s="1"/>
  <c r="B4" i="3"/>
  <c r="B56" i="3" s="1"/>
  <c r="A4" i="3"/>
  <c r="A56" i="3" s="1"/>
  <c r="DS3" i="3"/>
  <c r="DR3" i="3"/>
  <c r="DQ3" i="3"/>
  <c r="DP3" i="3"/>
  <c r="DO3" i="3"/>
  <c r="DN3" i="3"/>
  <c r="DM3" i="3"/>
  <c r="DL3" i="3"/>
  <c r="DK3" i="3"/>
  <c r="DJ3" i="3"/>
  <c r="DI3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E3" i="3"/>
  <c r="E55" i="3" s="1"/>
  <c r="D3" i="3"/>
  <c r="D55" i="3" s="1"/>
  <c r="C3" i="3"/>
  <c r="C55" i="3" s="1"/>
  <c r="B3" i="3"/>
  <c r="B55" i="3" s="1"/>
  <c r="A3" i="3"/>
  <c r="A55" i="3" s="1"/>
  <c r="E2" i="3"/>
  <c r="D2" i="3"/>
  <c r="C2" i="3"/>
  <c r="B2" i="3"/>
  <c r="A2" i="3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E2" i="2"/>
  <c r="D2" i="2"/>
  <c r="C2" i="2"/>
  <c r="B2" i="2"/>
  <c r="A2" i="2"/>
  <c r="A47" i="3"/>
  <c r="B51" i="3" l="1"/>
  <c r="F55" i="3"/>
  <c r="F84" i="3"/>
  <c r="F57" i="3"/>
  <c r="F58" i="3"/>
  <c r="F88" i="3"/>
  <c r="F86" i="3"/>
  <c r="F77" i="3"/>
  <c r="F75" i="3"/>
  <c r="F63" i="3"/>
  <c r="F76" i="3"/>
  <c r="F67" i="3"/>
  <c r="F83" i="3"/>
  <c r="F82" i="3"/>
  <c r="F65" i="3"/>
  <c r="F81" i="3"/>
  <c r="F66" i="3"/>
  <c r="F80" i="3"/>
  <c r="F71" i="3"/>
  <c r="F79" i="3"/>
  <c r="F78" i="3"/>
  <c r="F69" i="3"/>
  <c r="F85" i="3"/>
  <c r="F70" i="3"/>
  <c r="F59" i="3"/>
  <c r="F60" i="3"/>
  <c r="C103" i="3"/>
  <c r="F56" i="3"/>
  <c r="F64" i="3"/>
  <c r="F72" i="3"/>
  <c r="F68" i="3"/>
  <c r="C109" i="3"/>
  <c r="C113" i="3"/>
  <c r="C101" i="3"/>
  <c r="C105" i="3"/>
  <c r="C111" i="3"/>
  <c r="F73" i="3"/>
  <c r="F74" i="3"/>
  <c r="F87" i="3"/>
  <c r="F61" i="3"/>
  <c r="F62" i="3"/>
  <c r="B111" i="3" l="1"/>
  <c r="B105" i="3"/>
  <c r="B101" i="3"/>
  <c r="B113" i="3"/>
  <c r="B109" i="3"/>
  <c r="B103" i="3"/>
  <c r="BF107" i="3" l="1"/>
  <c r="BF108" i="3" s="1"/>
  <c r="BB107" i="3"/>
  <c r="BB108" i="3" s="1"/>
  <c r="AX107" i="3"/>
  <c r="AX108" i="3" s="1"/>
  <c r="AT107" i="3"/>
  <c r="AT108" i="3" s="1"/>
  <c r="AP107" i="3"/>
  <c r="AP108" i="3" s="1"/>
  <c r="AL107" i="3"/>
  <c r="AL108" i="3" s="1"/>
  <c r="AH107" i="3"/>
  <c r="AH108" i="3" s="1"/>
  <c r="AD107" i="3"/>
  <c r="AD108" i="3" s="1"/>
  <c r="Z107" i="3"/>
  <c r="Z108" i="3" s="1"/>
  <c r="V107" i="3"/>
  <c r="V108" i="3" s="1"/>
  <c r="R107" i="3"/>
  <c r="R108" i="3" s="1"/>
  <c r="N107" i="3"/>
  <c r="N108" i="3" s="1"/>
  <c r="J107" i="3"/>
  <c r="J108" i="3" s="1"/>
  <c r="F107" i="3"/>
  <c r="F108" i="3" s="1"/>
  <c r="B107" i="3"/>
  <c r="B108" i="3" s="1"/>
  <c r="BI107" i="3"/>
  <c r="BI108" i="3" s="1"/>
  <c r="BE107" i="3"/>
  <c r="BE108" i="3" s="1"/>
  <c r="BA107" i="3"/>
  <c r="BA108" i="3" s="1"/>
  <c r="AW107" i="3"/>
  <c r="AW108" i="3" s="1"/>
  <c r="AS107" i="3"/>
  <c r="AS108" i="3" s="1"/>
  <c r="AO107" i="3"/>
  <c r="AO108" i="3" s="1"/>
  <c r="AK107" i="3"/>
  <c r="AK108" i="3" s="1"/>
  <c r="AG107" i="3"/>
  <c r="AG108" i="3" s="1"/>
  <c r="AC107" i="3"/>
  <c r="AC108" i="3" s="1"/>
  <c r="Y107" i="3"/>
  <c r="Y108" i="3" s="1"/>
  <c r="U107" i="3"/>
  <c r="U108" i="3" s="1"/>
  <c r="Q107" i="3"/>
  <c r="Q108" i="3" s="1"/>
  <c r="M107" i="3"/>
  <c r="M108" i="3" s="1"/>
  <c r="I107" i="3"/>
  <c r="I108" i="3" s="1"/>
  <c r="E107" i="3"/>
  <c r="E108" i="3" s="1"/>
  <c r="BH107" i="3"/>
  <c r="BH108" i="3" s="1"/>
  <c r="BD107" i="3"/>
  <c r="BD108" i="3" s="1"/>
  <c r="AZ107" i="3"/>
  <c r="AZ108" i="3" s="1"/>
  <c r="AV107" i="3"/>
  <c r="AV108" i="3" s="1"/>
  <c r="AR107" i="3"/>
  <c r="AR108" i="3" s="1"/>
  <c r="AN107" i="3"/>
  <c r="AN108" i="3" s="1"/>
  <c r="AJ107" i="3"/>
  <c r="AJ108" i="3" s="1"/>
  <c r="AF107" i="3"/>
  <c r="AF108" i="3" s="1"/>
  <c r="AB107" i="3"/>
  <c r="AB108" i="3" s="1"/>
  <c r="X107" i="3"/>
  <c r="X108" i="3" s="1"/>
  <c r="T107" i="3"/>
  <c r="T108" i="3" s="1"/>
  <c r="P107" i="3"/>
  <c r="P108" i="3" s="1"/>
  <c r="L107" i="3"/>
  <c r="L108" i="3" s="1"/>
  <c r="H107" i="3"/>
  <c r="H108" i="3" s="1"/>
  <c r="D107" i="3"/>
  <c r="D108" i="3" s="1"/>
  <c r="AY107" i="3"/>
  <c r="AY108" i="3" s="1"/>
  <c r="AI107" i="3"/>
  <c r="AI108" i="3" s="1"/>
  <c r="S107" i="3"/>
  <c r="S108" i="3" s="1"/>
  <c r="C107" i="3"/>
  <c r="C108" i="3" s="1"/>
  <c r="AU107" i="3"/>
  <c r="AU108" i="3" s="1"/>
  <c r="AE107" i="3"/>
  <c r="AE108" i="3" s="1"/>
  <c r="O107" i="3"/>
  <c r="O108" i="3" s="1"/>
  <c r="AQ107" i="3"/>
  <c r="AQ108" i="3" s="1"/>
  <c r="K107" i="3"/>
  <c r="K108" i="3" s="1"/>
  <c r="AM107" i="3"/>
  <c r="AM108" i="3" s="1"/>
  <c r="G107" i="3"/>
  <c r="G108" i="3" s="1"/>
  <c r="BG107" i="3"/>
  <c r="BG108" i="3" s="1"/>
  <c r="AA107" i="3"/>
  <c r="AA108" i="3" s="1"/>
  <c r="BC107" i="3"/>
  <c r="BC108" i="3" s="1"/>
  <c r="W107" i="3"/>
  <c r="W108" i="3" s="1"/>
  <c r="BH115" i="3"/>
  <c r="BH116" i="3" s="1"/>
  <c r="BD115" i="3"/>
  <c r="BD116" i="3" s="1"/>
  <c r="AZ115" i="3"/>
  <c r="AZ116" i="3" s="1"/>
  <c r="AV115" i="3"/>
  <c r="AV116" i="3" s="1"/>
  <c r="AR115" i="3"/>
  <c r="AR116" i="3" s="1"/>
  <c r="AN115" i="3"/>
  <c r="AN116" i="3" s="1"/>
  <c r="AJ115" i="3"/>
  <c r="AJ116" i="3" s="1"/>
  <c r="AF115" i="3"/>
  <c r="AF116" i="3" s="1"/>
  <c r="AB115" i="3"/>
  <c r="AB116" i="3" s="1"/>
  <c r="X115" i="3"/>
  <c r="X116" i="3" s="1"/>
  <c r="T115" i="3"/>
  <c r="T116" i="3" s="1"/>
  <c r="P115" i="3"/>
  <c r="P116" i="3" s="1"/>
  <c r="L115" i="3"/>
  <c r="L116" i="3" s="1"/>
  <c r="H115" i="3"/>
  <c r="H116" i="3" s="1"/>
  <c r="D115" i="3"/>
  <c r="D116" i="3" s="1"/>
  <c r="BG115" i="3"/>
  <c r="BG116" i="3" s="1"/>
  <c r="BC115" i="3"/>
  <c r="BC116" i="3" s="1"/>
  <c r="AY115" i="3"/>
  <c r="AY116" i="3" s="1"/>
  <c r="AU115" i="3"/>
  <c r="AU116" i="3" s="1"/>
  <c r="AQ115" i="3"/>
  <c r="AQ116" i="3" s="1"/>
  <c r="AM115" i="3"/>
  <c r="AM116" i="3" s="1"/>
  <c r="AI115" i="3"/>
  <c r="AI116" i="3" s="1"/>
  <c r="AE115" i="3"/>
  <c r="AE116" i="3" s="1"/>
  <c r="AA115" i="3"/>
  <c r="AA116" i="3" s="1"/>
  <c r="W115" i="3"/>
  <c r="W116" i="3" s="1"/>
  <c r="S115" i="3"/>
  <c r="S116" i="3" s="1"/>
  <c r="O115" i="3"/>
  <c r="O116" i="3" s="1"/>
  <c r="K115" i="3"/>
  <c r="K116" i="3" s="1"/>
  <c r="G115" i="3"/>
  <c r="G116" i="3" s="1"/>
  <c r="C115" i="3"/>
  <c r="C116" i="3" s="1"/>
  <c r="BF115" i="3"/>
  <c r="BF116" i="3" s="1"/>
  <c r="BB115" i="3"/>
  <c r="BB116" i="3" s="1"/>
  <c r="AX115" i="3"/>
  <c r="AX116" i="3" s="1"/>
  <c r="AT115" i="3"/>
  <c r="AT116" i="3" s="1"/>
  <c r="AP115" i="3"/>
  <c r="AP116" i="3" s="1"/>
  <c r="AL115" i="3"/>
  <c r="AL116" i="3" s="1"/>
  <c r="AH115" i="3"/>
  <c r="AH116" i="3" s="1"/>
  <c r="AD115" i="3"/>
  <c r="AD116" i="3" s="1"/>
  <c r="Z115" i="3"/>
  <c r="Z116" i="3" s="1"/>
  <c r="V115" i="3"/>
  <c r="V116" i="3" s="1"/>
  <c r="R115" i="3"/>
  <c r="R116" i="3" s="1"/>
  <c r="N115" i="3"/>
  <c r="N116" i="3" s="1"/>
  <c r="J115" i="3"/>
  <c r="J116" i="3" s="1"/>
  <c r="F115" i="3"/>
  <c r="F116" i="3" s="1"/>
  <c r="B115" i="3"/>
  <c r="B116" i="3" s="1"/>
  <c r="BA115" i="3"/>
  <c r="BA116" i="3" s="1"/>
  <c r="AK115" i="3"/>
  <c r="AK116" i="3" s="1"/>
  <c r="U115" i="3"/>
  <c r="U116" i="3" s="1"/>
  <c r="E115" i="3"/>
  <c r="E116" i="3" s="1"/>
  <c r="AW115" i="3"/>
  <c r="AW116" i="3" s="1"/>
  <c r="AG115" i="3"/>
  <c r="AG116" i="3" s="1"/>
  <c r="Q115" i="3"/>
  <c r="Q116" i="3" s="1"/>
  <c r="AS115" i="3"/>
  <c r="AS116" i="3" s="1"/>
  <c r="M115" i="3"/>
  <c r="M116" i="3" s="1"/>
  <c r="AO115" i="3"/>
  <c r="AO116" i="3" s="1"/>
  <c r="I115" i="3"/>
  <c r="I116" i="3" s="1"/>
  <c r="BI115" i="3"/>
  <c r="BI116" i="3" s="1"/>
  <c r="AC115" i="3"/>
  <c r="AC116" i="3" s="1"/>
  <c r="BE115" i="3"/>
  <c r="BE116" i="3" s="1"/>
  <c r="Y115" i="3"/>
  <c r="Y116" i="3" s="1"/>
  <c r="CK2" i="3" l="1"/>
  <c r="AD2" i="3"/>
  <c r="AD2" i="2" s="1"/>
  <c r="DI2" i="3"/>
  <c r="BB2" i="3"/>
  <c r="BB2" i="2" s="1"/>
  <c r="AY2" i="3"/>
  <c r="AY2" i="2" s="1"/>
  <c r="DF2" i="3"/>
  <c r="AN2" i="3"/>
  <c r="AN2" i="2" s="1"/>
  <c r="CU2" i="3"/>
  <c r="Y2" i="3"/>
  <c r="Y2" i="2" s="1"/>
  <c r="CF2" i="3"/>
  <c r="DQ2" i="3"/>
  <c r="BJ2" i="3"/>
  <c r="BJ2" i="2" s="1"/>
  <c r="DA2" i="3"/>
  <c r="AT2" i="3"/>
  <c r="AT2" i="2" s="1"/>
  <c r="G2" i="3"/>
  <c r="G2" i="2" s="1"/>
  <c r="BN2" i="3"/>
  <c r="W2" i="3"/>
  <c r="W2" i="2" s="1"/>
  <c r="CD2" i="3"/>
  <c r="AM2" i="3"/>
  <c r="AM2" i="2" s="1"/>
  <c r="CT2" i="3"/>
  <c r="BC2" i="3"/>
  <c r="BC2" i="2" s="1"/>
  <c r="DJ2" i="3"/>
  <c r="L2" i="3"/>
  <c r="L2" i="2" s="1"/>
  <c r="BS2" i="3"/>
  <c r="AB2" i="3"/>
  <c r="AB2" i="2" s="1"/>
  <c r="CI2" i="3"/>
  <c r="AR2" i="3"/>
  <c r="AR2" i="2" s="1"/>
  <c r="CY2" i="3"/>
  <c r="M2" i="3"/>
  <c r="M2" i="2" s="1"/>
  <c r="BT2" i="3"/>
  <c r="AC2" i="3"/>
  <c r="AC2" i="2" s="1"/>
  <c r="CJ2" i="3"/>
  <c r="AS2" i="3"/>
  <c r="AS2" i="2" s="1"/>
  <c r="CZ2" i="3"/>
  <c r="BI2" i="3"/>
  <c r="BI2" i="2" s="1"/>
  <c r="DP2" i="3"/>
  <c r="CG2" i="3"/>
  <c r="Z2" i="3"/>
  <c r="Z2" i="2" s="1"/>
  <c r="BQ2" i="3"/>
  <c r="J2" i="3"/>
  <c r="J2" i="2" s="1"/>
  <c r="BY2" i="3"/>
  <c r="R2" i="3"/>
  <c r="R2" i="2" s="1"/>
  <c r="CC2" i="3"/>
  <c r="V2" i="3"/>
  <c r="V2" i="2" s="1"/>
  <c r="K2" i="3"/>
  <c r="K2" i="2" s="1"/>
  <c r="BR2" i="3"/>
  <c r="AA2" i="3"/>
  <c r="AA2" i="2" s="1"/>
  <c r="CH2" i="3"/>
  <c r="AQ2" i="3"/>
  <c r="AQ2" i="2" s="1"/>
  <c r="CX2" i="3"/>
  <c r="BG2" i="3"/>
  <c r="BG2" i="2" s="1"/>
  <c r="DN2" i="3"/>
  <c r="P2" i="3"/>
  <c r="P2" i="2" s="1"/>
  <c r="BW2" i="3"/>
  <c r="AF2" i="3"/>
  <c r="AF2" i="2" s="1"/>
  <c r="CM2" i="3"/>
  <c r="AV2" i="3"/>
  <c r="AV2" i="2" s="1"/>
  <c r="DC2" i="3"/>
  <c r="BL2" i="3"/>
  <c r="BL2" i="2" s="1"/>
  <c r="DS2" i="3"/>
  <c r="Q2" i="3"/>
  <c r="Q2" i="2" s="1"/>
  <c r="BX2" i="3"/>
  <c r="AG2" i="3"/>
  <c r="AG2" i="2" s="1"/>
  <c r="CN2" i="3"/>
  <c r="AW2" i="3"/>
  <c r="AW2" i="2" s="1"/>
  <c r="DD2" i="3"/>
  <c r="DM2" i="3"/>
  <c r="BF2" i="3"/>
  <c r="BF2" i="2" s="1"/>
  <c r="CW2" i="3"/>
  <c r="AP2" i="3"/>
  <c r="AP2" i="2" s="1"/>
  <c r="CO2" i="3"/>
  <c r="AH2" i="3"/>
  <c r="AH2" i="2" s="1"/>
  <c r="CS2" i="3"/>
  <c r="AL2" i="3"/>
  <c r="AL2" i="2" s="1"/>
  <c r="O2" i="3"/>
  <c r="O2" i="2" s="1"/>
  <c r="BV2" i="3"/>
  <c r="AE2" i="3"/>
  <c r="AE2" i="2" s="1"/>
  <c r="CL2" i="3"/>
  <c r="AU2" i="3"/>
  <c r="AU2" i="2" s="1"/>
  <c r="DB2" i="3"/>
  <c r="BK2" i="3"/>
  <c r="BK2" i="2" s="1"/>
  <c r="DR2" i="3"/>
  <c r="T2" i="3"/>
  <c r="T2" i="2" s="1"/>
  <c r="CA2" i="3"/>
  <c r="AJ2" i="3"/>
  <c r="AJ2" i="2" s="1"/>
  <c r="CQ2" i="3"/>
  <c r="AZ2" i="3"/>
  <c r="AZ2" i="2" s="1"/>
  <c r="DG2" i="3"/>
  <c r="B53" i="3"/>
  <c r="U2" i="3"/>
  <c r="U2" i="2" s="1"/>
  <c r="CB2" i="3"/>
  <c r="AK2" i="3"/>
  <c r="AK2" i="2" s="1"/>
  <c r="CR2" i="3"/>
  <c r="BA2" i="3"/>
  <c r="BA2" i="2" s="1"/>
  <c r="DH2" i="3"/>
  <c r="BU2" i="3"/>
  <c r="N2" i="3"/>
  <c r="N2" i="2" s="1"/>
  <c r="S2" i="3"/>
  <c r="S2" i="2" s="1"/>
  <c r="BZ2" i="3"/>
  <c r="H2" i="3"/>
  <c r="H2" i="2" s="1"/>
  <c r="BO2" i="3"/>
  <c r="BD2" i="3"/>
  <c r="BD2" i="2" s="1"/>
  <c r="DK2" i="3"/>
  <c r="I2" i="3"/>
  <c r="I2" i="2" s="1"/>
  <c r="BP2" i="3"/>
  <c r="BE2" i="3"/>
  <c r="BE2" i="2" s="1"/>
  <c r="DL2" i="3"/>
  <c r="DE2" i="3"/>
  <c r="AX2" i="3"/>
  <c r="AX2" i="2" s="1"/>
  <c r="AI2" i="3"/>
  <c r="AI2" i="2" s="1"/>
  <c r="CP2" i="3"/>
  <c r="X2" i="3"/>
  <c r="X2" i="2" s="1"/>
  <c r="CE2" i="3"/>
  <c r="AO2" i="3"/>
  <c r="AO2" i="2" s="1"/>
  <c r="CV2" i="3"/>
  <c r="BM2" i="3"/>
  <c r="F2" i="3"/>
  <c r="F2" i="2" s="1"/>
  <c r="BH2" i="3"/>
  <c r="BH2" i="2" s="1"/>
  <c r="DO2" i="3"/>
  <c r="BJ37" i="3"/>
  <c r="AT37" i="3"/>
  <c r="AD37" i="3"/>
  <c r="N37" i="3"/>
  <c r="BA36" i="3"/>
  <c r="AK36" i="3"/>
  <c r="U36" i="3"/>
  <c r="BC37" i="3"/>
  <c r="AG37" i="3"/>
  <c r="L37" i="3"/>
  <c r="AX36" i="3"/>
  <c r="AB36" i="3"/>
  <c r="H36" i="3"/>
  <c r="AY35" i="3"/>
  <c r="AI35" i="3"/>
  <c r="S35" i="3"/>
  <c r="BJ34" i="3"/>
  <c r="AT34" i="3"/>
  <c r="AD34" i="3"/>
  <c r="N34" i="3"/>
  <c r="BA33" i="3"/>
  <c r="AK33" i="3"/>
  <c r="U33" i="3"/>
  <c r="BL32" i="3"/>
  <c r="AV32" i="3"/>
  <c r="AF32" i="3"/>
  <c r="P32" i="3"/>
  <c r="BG31" i="3"/>
  <c r="AQ31" i="3"/>
  <c r="AA31" i="3"/>
  <c r="K31" i="3"/>
  <c r="BB30" i="3"/>
  <c r="AL30" i="3"/>
  <c r="V30" i="3"/>
  <c r="BI29" i="3"/>
  <c r="AS29" i="3"/>
  <c r="AC29" i="3"/>
  <c r="M29" i="3"/>
  <c r="BD28" i="3"/>
  <c r="AN28" i="3"/>
  <c r="X28" i="3"/>
  <c r="H28" i="3"/>
  <c r="BG37" i="3"/>
  <c r="AK37" i="3"/>
  <c r="P37" i="3"/>
  <c r="BB36" i="3"/>
  <c r="AF36" i="3"/>
  <c r="K36" i="3"/>
  <c r="BB35" i="3"/>
  <c r="AL35" i="3"/>
  <c r="V35" i="3"/>
  <c r="BI34" i="3"/>
  <c r="AS34" i="3"/>
  <c r="AC34" i="3"/>
  <c r="M34" i="3"/>
  <c r="BD33" i="3"/>
  <c r="AN33" i="3"/>
  <c r="X33" i="3"/>
  <c r="H33" i="3"/>
  <c r="AY32" i="3"/>
  <c r="AI32" i="3"/>
  <c r="S32" i="3"/>
  <c r="BJ31" i="3"/>
  <c r="AT31" i="3"/>
  <c r="AN37" i="3"/>
  <c r="BD36" i="3"/>
  <c r="N36" i="3"/>
  <c r="AN35" i="3"/>
  <c r="H35" i="3"/>
  <c r="AI34" i="3"/>
  <c r="BE37" i="3"/>
  <c r="O37" i="3"/>
  <c r="AE36" i="3"/>
  <c r="BA35" i="3"/>
  <c r="U35" i="3"/>
  <c r="AV34" i="3"/>
  <c r="P34" i="3"/>
  <c r="AQ33" i="3"/>
  <c r="K33" i="3"/>
  <c r="AL32" i="3"/>
  <c r="BE31" i="3"/>
  <c r="AD31" i="3"/>
  <c r="I31" i="3"/>
  <c r="AU30" i="3"/>
  <c r="Y30" i="3"/>
  <c r="BK29" i="3"/>
  <c r="AP29" i="3"/>
  <c r="T29" i="3"/>
  <c r="AO37" i="3"/>
  <c r="O36" i="3"/>
  <c r="I35" i="3"/>
  <c r="BK33" i="3"/>
  <c r="V33" i="3"/>
  <c r="AK32" i="3"/>
  <c r="BA31" i="3"/>
  <c r="U31" i="3"/>
  <c r="AR30" i="3"/>
  <c r="P30" i="3"/>
  <c r="AT29" i="3"/>
  <c r="R29" i="3"/>
  <c r="BA28" i="3"/>
  <c r="AE28" i="3"/>
  <c r="J28" i="3"/>
  <c r="AX27" i="3"/>
  <c r="AH27" i="3"/>
  <c r="R27" i="3"/>
  <c r="BE26" i="3"/>
  <c r="AO26" i="3"/>
  <c r="Y26" i="3"/>
  <c r="I26" i="3"/>
  <c r="AZ25" i="3"/>
  <c r="AJ25" i="3"/>
  <c r="T25" i="3"/>
  <c r="BK24" i="3"/>
  <c r="AU24" i="3"/>
  <c r="AE24" i="3"/>
  <c r="O24" i="3"/>
  <c r="BF23" i="3"/>
  <c r="AP23" i="3"/>
  <c r="Z23" i="3"/>
  <c r="J23" i="3"/>
  <c r="AW22" i="3"/>
  <c r="AG22" i="3"/>
  <c r="Q22" i="3"/>
  <c r="BH21" i="3"/>
  <c r="AR21" i="3"/>
  <c r="AB21" i="3"/>
  <c r="L21" i="3"/>
  <c r="M37" i="3"/>
  <c r="BF37" i="3"/>
  <c r="AP37" i="3"/>
  <c r="Z37" i="3"/>
  <c r="J37" i="3"/>
  <c r="AW36" i="3"/>
  <c r="AG36" i="3"/>
  <c r="Q36" i="3"/>
  <c r="AW37" i="3"/>
  <c r="AB37" i="3"/>
  <c r="G37" i="3"/>
  <c r="AR36" i="3"/>
  <c r="W36" i="3"/>
  <c r="BK35" i="3"/>
  <c r="AU35" i="3"/>
  <c r="AE35" i="3"/>
  <c r="O35" i="3"/>
  <c r="BF34" i="3"/>
  <c r="AP34" i="3"/>
  <c r="Z34" i="3"/>
  <c r="J34" i="3"/>
  <c r="AW33" i="3"/>
  <c r="AG33" i="3"/>
  <c r="Q33" i="3"/>
  <c r="BH32" i="3"/>
  <c r="AR32" i="3"/>
  <c r="AB32" i="3"/>
  <c r="L32" i="3"/>
  <c r="BC31" i="3"/>
  <c r="AM31" i="3"/>
  <c r="W31" i="3"/>
  <c r="G31" i="3"/>
  <c r="AX30" i="3"/>
  <c r="AH30" i="3"/>
  <c r="R30" i="3"/>
  <c r="BE29" i="3"/>
  <c r="AO29" i="3"/>
  <c r="Y29" i="3"/>
  <c r="I29" i="3"/>
  <c r="AZ28" i="3"/>
  <c r="AJ28" i="3"/>
  <c r="T28" i="3"/>
  <c r="BK27" i="3"/>
  <c r="BA37" i="3"/>
  <c r="AF37" i="3"/>
  <c r="K37" i="3"/>
  <c r="AV36" i="3"/>
  <c r="AA36" i="3"/>
  <c r="G36" i="3"/>
  <c r="AX35" i="3"/>
  <c r="AH35" i="3"/>
  <c r="R35" i="3"/>
  <c r="BE34" i="3"/>
  <c r="AO34" i="3"/>
  <c r="Y34" i="3"/>
  <c r="I34" i="3"/>
  <c r="AZ33" i="3"/>
  <c r="AJ33" i="3"/>
  <c r="T33" i="3"/>
  <c r="BK32" i="3"/>
  <c r="AU32" i="3"/>
  <c r="AE32" i="3"/>
  <c r="O32" i="3"/>
  <c r="BF31" i="3"/>
  <c r="AP31" i="3"/>
  <c r="AC37" i="3"/>
  <c r="AT36" i="3"/>
  <c r="BL35" i="3"/>
  <c r="AF35" i="3"/>
  <c r="BG34" i="3"/>
  <c r="AA34" i="3"/>
  <c r="AU37" i="3"/>
  <c r="BK36" i="3"/>
  <c r="T36" i="3"/>
  <c r="AS35" i="3"/>
  <c r="M35" i="3"/>
  <c r="AN34" i="3"/>
  <c r="H34" i="3"/>
  <c r="AI33" i="3"/>
  <c r="BJ32" i="3"/>
  <c r="AD32" i="3"/>
  <c r="AW31" i="3"/>
  <c r="Y31" i="3"/>
  <c r="BK30" i="3"/>
  <c r="AO30" i="3"/>
  <c r="T30" i="3"/>
  <c r="BF29" i="3"/>
  <c r="AJ29" i="3"/>
  <c r="O29" i="3"/>
  <c r="T37" i="3"/>
  <c r="BE35" i="3"/>
  <c r="AZ34" i="3"/>
  <c r="BB33" i="3"/>
  <c r="J33" i="3"/>
  <c r="Z32" i="3"/>
  <c r="BB37" i="3"/>
  <c r="AL37" i="3"/>
  <c r="V37" i="3"/>
  <c r="BI36" i="3"/>
  <c r="AS36" i="3"/>
  <c r="AC36" i="3"/>
  <c r="M36" i="3"/>
  <c r="AR37" i="3"/>
  <c r="W37" i="3"/>
  <c r="BH36" i="3"/>
  <c r="AM36" i="3"/>
  <c r="R36" i="3"/>
  <c r="BG35" i="3"/>
  <c r="AQ35" i="3"/>
  <c r="AA35" i="3"/>
  <c r="K35" i="3"/>
  <c r="BB34" i="3"/>
  <c r="AL34" i="3"/>
  <c r="V34" i="3"/>
  <c r="BI33" i="3"/>
  <c r="AS33" i="3"/>
  <c r="AC33" i="3"/>
  <c r="M33" i="3"/>
  <c r="BD32" i="3"/>
  <c r="AN32" i="3"/>
  <c r="X32" i="3"/>
  <c r="H32" i="3"/>
  <c r="AY31" i="3"/>
  <c r="AI31" i="3"/>
  <c r="S31" i="3"/>
  <c r="BJ30" i="3"/>
  <c r="AT30" i="3"/>
  <c r="AD30" i="3"/>
  <c r="N30" i="3"/>
  <c r="BA29" i="3"/>
  <c r="AK29" i="3"/>
  <c r="U29" i="3"/>
  <c r="BL28" i="3"/>
  <c r="AV28" i="3"/>
  <c r="AF28" i="3"/>
  <c r="P28" i="3"/>
  <c r="BG27" i="3"/>
  <c r="AV37" i="3"/>
  <c r="AA37" i="3"/>
  <c r="BL36" i="3"/>
  <c r="AQ36" i="3"/>
  <c r="V36" i="3"/>
  <c r="BJ35" i="3"/>
  <c r="AT35" i="3"/>
  <c r="AD35" i="3"/>
  <c r="N35" i="3"/>
  <c r="BA34" i="3"/>
  <c r="AK34" i="3"/>
  <c r="U34" i="3"/>
  <c r="BL33" i="3"/>
  <c r="AV33" i="3"/>
  <c r="AF33" i="3"/>
  <c r="P33" i="3"/>
  <c r="BG32" i="3"/>
  <c r="AQ32" i="3"/>
  <c r="AA32" i="3"/>
  <c r="K32" i="3"/>
  <c r="BB31" i="3"/>
  <c r="BI37" i="3"/>
  <c r="S37" i="3"/>
  <c r="AI36" i="3"/>
  <c r="BD35" i="3"/>
  <c r="X35" i="3"/>
  <c r="AY34" i="3"/>
  <c r="S34" i="3"/>
  <c r="AJ37" i="3"/>
  <c r="AZ36" i="3"/>
  <c r="J36" i="3"/>
  <c r="AK35" i="3"/>
  <c r="BL34" i="3"/>
  <c r="AF34" i="3"/>
  <c r="BG33" i="3"/>
  <c r="AA33" i="3"/>
  <c r="BB32" i="3"/>
  <c r="V32" i="3"/>
  <c r="AO31" i="3"/>
  <c r="T31" i="3"/>
  <c r="BE30" i="3"/>
  <c r="AJ30" i="3"/>
  <c r="O30" i="3"/>
  <c r="AZ29" i="3"/>
  <c r="AE29" i="3"/>
  <c r="J29" i="3"/>
  <c r="BF36" i="3"/>
  <c r="AO35" i="3"/>
  <c r="AJ34" i="3"/>
  <c r="AP33" i="3"/>
  <c r="BF32" i="3"/>
  <c r="Q32" i="3"/>
  <c r="AH31" i="3"/>
  <c r="BG30" i="3"/>
  <c r="AC30" i="3"/>
  <c r="BH29" i="3"/>
  <c r="AF29" i="3"/>
  <c r="BK28" i="3"/>
  <c r="AP28" i="3"/>
  <c r="AX37" i="3"/>
  <c r="AH37" i="3"/>
  <c r="R37" i="3"/>
  <c r="BE36" i="3"/>
  <c r="AO36" i="3"/>
  <c r="Y36" i="3"/>
  <c r="BH37" i="3"/>
  <c r="AM37" i="3"/>
  <c r="Q37" i="3"/>
  <c r="BC36" i="3"/>
  <c r="AH36" i="3"/>
  <c r="L36" i="3"/>
  <c r="BC35" i="3"/>
  <c r="AM35" i="3"/>
  <c r="W35" i="3"/>
  <c r="G35" i="3"/>
  <c r="AX34" i="3"/>
  <c r="AH34" i="3"/>
  <c r="R34" i="3"/>
  <c r="BE33" i="3"/>
  <c r="AO33" i="3"/>
  <c r="Y33" i="3"/>
  <c r="I33" i="3"/>
  <c r="AZ32" i="3"/>
  <c r="AJ32" i="3"/>
  <c r="T32" i="3"/>
  <c r="BK31" i="3"/>
  <c r="AU31" i="3"/>
  <c r="AE31" i="3"/>
  <c r="O31" i="3"/>
  <c r="BF30" i="3"/>
  <c r="AP30" i="3"/>
  <c r="Z30" i="3"/>
  <c r="J30" i="3"/>
  <c r="AW29" i="3"/>
  <c r="AG29" i="3"/>
  <c r="Q29" i="3"/>
  <c r="BH28" i="3"/>
  <c r="AR28" i="3"/>
  <c r="AB28" i="3"/>
  <c r="L28" i="3"/>
  <c r="BL37" i="3"/>
  <c r="AQ37" i="3"/>
  <c r="U37" i="3"/>
  <c r="BG36" i="3"/>
  <c r="AL36" i="3"/>
  <c r="P36" i="3"/>
  <c r="BF35" i="3"/>
  <c r="AP35" i="3"/>
  <c r="Z35" i="3"/>
  <c r="J35" i="3"/>
  <c r="AW34" i="3"/>
  <c r="AG34" i="3"/>
  <c r="Q34" i="3"/>
  <c r="BH33" i="3"/>
  <c r="AR33" i="3"/>
  <c r="AB33" i="3"/>
  <c r="L33" i="3"/>
  <c r="BC32" i="3"/>
  <c r="AM32" i="3"/>
  <c r="W32" i="3"/>
  <c r="G32" i="3"/>
  <c r="AX31" i="3"/>
  <c r="AY37" i="3"/>
  <c r="H37" i="3"/>
  <c r="X36" i="3"/>
  <c r="AV35" i="3"/>
  <c r="P35" i="3"/>
  <c r="AQ34" i="3"/>
  <c r="K34" i="3"/>
  <c r="Y37" i="3"/>
  <c r="AP36" i="3"/>
  <c r="BI35" i="3"/>
  <c r="AC35" i="3"/>
  <c r="BD34" i="3"/>
  <c r="X34" i="3"/>
  <c r="AY33" i="3"/>
  <c r="S33" i="3"/>
  <c r="AT32" i="3"/>
  <c r="N32" i="3"/>
  <c r="AJ31" i="3"/>
  <c r="N31" i="3"/>
  <c r="AZ30" i="3"/>
  <c r="AE30" i="3"/>
  <c r="I30" i="3"/>
  <c r="AU29" i="3"/>
  <c r="Z29" i="3"/>
  <c r="BK37" i="3"/>
  <c r="AJ36" i="3"/>
  <c r="Y35" i="3"/>
  <c r="T34" i="3"/>
  <c r="AE33" i="3"/>
  <c r="AW32" i="3"/>
  <c r="BL31" i="3"/>
  <c r="AB31" i="3"/>
  <c r="AY30" i="3"/>
  <c r="W30" i="3"/>
  <c r="BB29" i="3"/>
  <c r="X29" i="3"/>
  <c r="BF28" i="3"/>
  <c r="AK28" i="3"/>
  <c r="O28" i="3"/>
  <c r="BB27" i="3"/>
  <c r="AL27" i="3"/>
  <c r="V27" i="3"/>
  <c r="BI26" i="3"/>
  <c r="AS26" i="3"/>
  <c r="AC26" i="3"/>
  <c r="M26" i="3"/>
  <c r="BD25" i="3"/>
  <c r="AN25" i="3"/>
  <c r="X25" i="3"/>
  <c r="H25" i="3"/>
  <c r="AY24" i="3"/>
  <c r="AI24" i="3"/>
  <c r="S24" i="3"/>
  <c r="BJ23" i="3"/>
  <c r="AT23" i="3"/>
  <c r="AD23" i="3"/>
  <c r="N23" i="3"/>
  <c r="BA22" i="3"/>
  <c r="AK22" i="3"/>
  <c r="U22" i="3"/>
  <c r="BL21" i="3"/>
  <c r="AV21" i="3"/>
  <c r="AF21" i="3"/>
  <c r="P21" i="3"/>
  <c r="AR31" i="3"/>
  <c r="AM29" i="3"/>
  <c r="U28" i="3"/>
  <c r="AP27" i="3"/>
  <c r="J27" i="3"/>
  <c r="AG26" i="3"/>
  <c r="BH25" i="3"/>
  <c r="AB25" i="3"/>
  <c r="BC24" i="3"/>
  <c r="W24" i="3"/>
  <c r="AX23" i="3"/>
  <c r="R23" i="3"/>
  <c r="AO22" i="3"/>
  <c r="I22" i="3"/>
  <c r="AJ21" i="3"/>
  <c r="BD37" i="3"/>
  <c r="I36" i="3"/>
  <c r="BK34" i="3"/>
  <c r="BJ33" i="3"/>
  <c r="R33" i="3"/>
  <c r="AH32" i="3"/>
  <c r="AZ31" i="3"/>
  <c r="R31" i="3"/>
  <c r="AW30" i="3"/>
  <c r="U30" i="3"/>
  <c r="AY29" i="3"/>
  <c r="W29" i="3"/>
  <c r="BE28" i="3"/>
  <c r="AI28" i="3"/>
  <c r="N28" i="3"/>
  <c r="BA27" i="3"/>
  <c r="AK27" i="3"/>
  <c r="U27" i="3"/>
  <c r="BL26" i="3"/>
  <c r="AV26" i="3"/>
  <c r="AF26" i="3"/>
  <c r="P26" i="3"/>
  <c r="BG25" i="3"/>
  <c r="AQ25" i="3"/>
  <c r="AA25" i="3"/>
  <c r="K25" i="3"/>
  <c r="BB24" i="3"/>
  <c r="AL24" i="3"/>
  <c r="V24" i="3"/>
  <c r="BI23" i="3"/>
  <c r="AS23" i="3"/>
  <c r="AC23" i="3"/>
  <c r="M23" i="3"/>
  <c r="BD22" i="3"/>
  <c r="AN22" i="3"/>
  <c r="X22" i="3"/>
  <c r="H22" i="3"/>
  <c r="AY21" i="3"/>
  <c r="AI21" i="3"/>
  <c r="S21" i="3"/>
  <c r="BJ20" i="3"/>
  <c r="AT20" i="3"/>
  <c r="I37" i="3"/>
  <c r="AG35" i="3"/>
  <c r="AB34" i="3"/>
  <c r="AL33" i="3"/>
  <c r="AP32" i="3"/>
  <c r="BH31" i="3"/>
  <c r="X31" i="3"/>
  <c r="BC30" i="3"/>
  <c r="AA30" i="3"/>
  <c r="BD29" i="3"/>
  <c r="AB29" i="3"/>
  <c r="BI28" i="3"/>
  <c r="AM28" i="3"/>
  <c r="R28" i="3"/>
  <c r="BD27" i="3"/>
  <c r="AN27" i="3"/>
  <c r="X27" i="3"/>
  <c r="H27" i="3"/>
  <c r="AY26" i="3"/>
  <c r="AI26" i="3"/>
  <c r="S26" i="3"/>
  <c r="BJ25" i="3"/>
  <c r="AT25" i="3"/>
  <c r="AD25" i="3"/>
  <c r="N25" i="3"/>
  <c r="BA24" i="3"/>
  <c r="AK24" i="3"/>
  <c r="U24" i="3"/>
  <c r="BL23" i="3"/>
  <c r="AV23" i="3"/>
  <c r="AF23" i="3"/>
  <c r="P23" i="3"/>
  <c r="BG22" i="3"/>
  <c r="AQ22" i="3"/>
  <c r="AA22" i="3"/>
  <c r="K22" i="3"/>
  <c r="BB21" i="3"/>
  <c r="AL21" i="3"/>
  <c r="V21" i="3"/>
  <c r="BJ36" i="3"/>
  <c r="BI32" i="3"/>
  <c r="AM30" i="3"/>
  <c r="AW28" i="3"/>
  <c r="O27" i="3"/>
  <c r="J26" i="3"/>
  <c r="BL24" i="3"/>
  <c r="BG23" i="3"/>
  <c r="BB22" i="3"/>
  <c r="AG21" i="3"/>
  <c r="AZ20" i="3"/>
  <c r="AG20" i="3"/>
  <c r="Q20" i="3"/>
  <c r="BH19" i="3"/>
  <c r="AR19" i="3"/>
  <c r="AB19" i="3"/>
  <c r="L19" i="3"/>
  <c r="BC18" i="3"/>
  <c r="AM18" i="3"/>
  <c r="W18" i="3"/>
  <c r="G18" i="3"/>
  <c r="AY16" i="3"/>
  <c r="AI16" i="3"/>
  <c r="S16" i="3"/>
  <c r="BJ15" i="3"/>
  <c r="AT15" i="3"/>
  <c r="AD15" i="3"/>
  <c r="N15" i="3"/>
  <c r="BA14" i="3"/>
  <c r="AK14" i="3"/>
  <c r="U14" i="3"/>
  <c r="AN36" i="3"/>
  <c r="AX32" i="3"/>
  <c r="AF30" i="3"/>
  <c r="V28" i="3"/>
  <c r="K27" i="3"/>
  <c r="AW25" i="3"/>
  <c r="AR24" i="3"/>
  <c r="AM23" i="3"/>
  <c r="AH22" i="3"/>
  <c r="AC21" i="3"/>
  <c r="AY20" i="3"/>
  <c r="AF20" i="3"/>
  <c r="P20" i="3"/>
  <c r="BG19" i="3"/>
  <c r="AQ19" i="3"/>
  <c r="AA19" i="3"/>
  <c r="K19" i="3"/>
  <c r="BB18" i="3"/>
  <c r="AL18" i="3"/>
  <c r="V18" i="3"/>
  <c r="BJ16" i="3"/>
  <c r="AT16" i="3"/>
  <c r="AD16" i="3"/>
  <c r="N16" i="3"/>
  <c r="BA15" i="3"/>
  <c r="AK15" i="3"/>
  <c r="U15" i="3"/>
  <c r="BL14" i="3"/>
  <c r="AV14" i="3"/>
  <c r="AF14" i="3"/>
  <c r="P14" i="3"/>
  <c r="S36" i="3"/>
  <c r="AO32" i="3"/>
  <c r="X30" i="3"/>
  <c r="AL28" i="3"/>
  <c r="W27" i="3"/>
  <c r="R26" i="3"/>
  <c r="M25" i="3"/>
  <c r="H24" i="3"/>
  <c r="BJ22" i="3"/>
  <c r="BE21" i="3"/>
  <c r="BH20" i="3"/>
  <c r="AM20" i="3"/>
  <c r="W20" i="3"/>
  <c r="G20" i="3"/>
  <c r="AX19" i="3"/>
  <c r="AH19" i="3"/>
  <c r="R19" i="3"/>
  <c r="BE18" i="3"/>
  <c r="M31" i="3"/>
  <c r="K29" i="3"/>
  <c r="BL27" i="3"/>
  <c r="AD27" i="3"/>
  <c r="BA26" i="3"/>
  <c r="U26" i="3"/>
  <c r="AV25" i="3"/>
  <c r="P25" i="3"/>
  <c r="AQ24" i="3"/>
  <c r="K24" i="3"/>
  <c r="AL23" i="3"/>
  <c r="BI22" i="3"/>
  <c r="AC22" i="3"/>
  <c r="BD21" i="3"/>
  <c r="X21" i="3"/>
  <c r="AI37" i="3"/>
  <c r="AZ35" i="3"/>
  <c r="AU34" i="3"/>
  <c r="AX33" i="3"/>
  <c r="G33" i="3"/>
  <c r="Y32" i="3"/>
  <c r="AN31" i="3"/>
  <c r="L31" i="3"/>
  <c r="AQ30" i="3"/>
  <c r="M30" i="3"/>
  <c r="AR29" i="3"/>
  <c r="P29" i="3"/>
  <c r="AY28" i="3"/>
  <c r="AD28" i="3"/>
  <c r="I28" i="3"/>
  <c r="AW27" i="3"/>
  <c r="AG27" i="3"/>
  <c r="Q27" i="3"/>
  <c r="BH26" i="3"/>
  <c r="AR26" i="3"/>
  <c r="AB26" i="3"/>
  <c r="L26" i="3"/>
  <c r="BC25" i="3"/>
  <c r="AM25" i="3"/>
  <c r="W25" i="3"/>
  <c r="G25" i="3"/>
  <c r="AX24" i="3"/>
  <c r="AH24" i="3"/>
  <c r="R24" i="3"/>
  <c r="BE23" i="3"/>
  <c r="AO23" i="3"/>
  <c r="Y23" i="3"/>
  <c r="I23" i="3"/>
  <c r="AZ22" i="3"/>
  <c r="AJ22" i="3"/>
  <c r="T22" i="3"/>
  <c r="BK21" i="3"/>
  <c r="AU21" i="3"/>
  <c r="AE21" i="3"/>
  <c r="O21" i="3"/>
  <c r="BF20" i="3"/>
  <c r="AP20" i="3"/>
  <c r="AU36" i="3"/>
  <c r="Q35" i="3"/>
  <c r="L34" i="3"/>
  <c r="Z33" i="3"/>
  <c r="AG32" i="3"/>
  <c r="AV31" i="3"/>
  <c r="Q31" i="3"/>
  <c r="AV30" i="3"/>
  <c r="S30" i="3"/>
  <c r="AX29" i="3"/>
  <c r="V29" i="3"/>
  <c r="BC28" i="3"/>
  <c r="AH28" i="3"/>
  <c r="M28" i="3"/>
  <c r="AZ27" i="3"/>
  <c r="AJ27" i="3"/>
  <c r="T27" i="3"/>
  <c r="BK26" i="3"/>
  <c r="AU26" i="3"/>
  <c r="AE26" i="3"/>
  <c r="O26" i="3"/>
  <c r="BF25" i="3"/>
  <c r="AP25" i="3"/>
  <c r="Z25" i="3"/>
  <c r="J25" i="3"/>
  <c r="AW24" i="3"/>
  <c r="AG24" i="3"/>
  <c r="Q24" i="3"/>
  <c r="BH23" i="3"/>
  <c r="AR23" i="3"/>
  <c r="AB23" i="3"/>
  <c r="L23" i="3"/>
  <c r="BC22" i="3"/>
  <c r="AM22" i="3"/>
  <c r="W22" i="3"/>
  <c r="G22" i="3"/>
  <c r="AX21" i="3"/>
  <c r="AH21" i="3"/>
  <c r="R21" i="3"/>
  <c r="AR35" i="3"/>
  <c r="R32" i="3"/>
  <c r="K30" i="3"/>
  <c r="AA28" i="3"/>
  <c r="BF26" i="3"/>
  <c r="BA25" i="3"/>
  <c r="AV24" i="3"/>
  <c r="AQ23" i="3"/>
  <c r="AL22" i="3"/>
  <c r="Q21" i="3"/>
  <c r="AU20" i="3"/>
  <c r="AC20" i="3"/>
  <c r="M20" i="3"/>
  <c r="BD19" i="3"/>
  <c r="AN19" i="3"/>
  <c r="X19" i="3"/>
  <c r="H19" i="3"/>
  <c r="AY18" i="3"/>
  <c r="AI18" i="3"/>
  <c r="S18" i="3"/>
  <c r="BK16" i="3"/>
  <c r="AU16" i="3"/>
  <c r="AE16" i="3"/>
  <c r="O16" i="3"/>
  <c r="BF15" i="3"/>
  <c r="AP15" i="3"/>
  <c r="Z15" i="3"/>
  <c r="J15" i="3"/>
  <c r="AW14" i="3"/>
  <c r="AG14" i="3"/>
  <c r="Q14" i="3"/>
  <c r="AB35" i="3"/>
  <c r="I32" i="3"/>
  <c r="BJ29" i="3"/>
  <c r="BH27" i="3"/>
  <c r="BB26" i="3"/>
  <c r="AG25" i="3"/>
  <c r="AB24" i="3"/>
  <c r="W23" i="3"/>
  <c r="R22" i="3"/>
  <c r="M21" i="3"/>
  <c r="AS20" i="3"/>
  <c r="AB20" i="3"/>
  <c r="L20" i="3"/>
  <c r="BC19" i="3"/>
  <c r="AM19" i="3"/>
  <c r="W19" i="3"/>
  <c r="G19" i="3"/>
  <c r="AX18" i="3"/>
  <c r="AH18" i="3"/>
  <c r="R18" i="3"/>
  <c r="BF16" i="3"/>
  <c r="AP16" i="3"/>
  <c r="Z16" i="3"/>
  <c r="J16" i="3"/>
  <c r="AW15" i="3"/>
  <c r="AG15" i="3"/>
  <c r="Q15" i="3"/>
  <c r="BH14" i="3"/>
  <c r="AR14" i="3"/>
  <c r="AB14" i="3"/>
  <c r="L14" i="3"/>
  <c r="L35" i="3"/>
  <c r="BD31" i="3"/>
  <c r="BC29" i="3"/>
  <c r="Q28" i="3"/>
  <c r="G27" i="3"/>
  <c r="BI25" i="3"/>
  <c r="BD24" i="3"/>
  <c r="AY23" i="3"/>
  <c r="AT22" i="3"/>
  <c r="AO21" i="3"/>
  <c r="BC20" i="3"/>
  <c r="AI20" i="3"/>
  <c r="AK30" i="3"/>
  <c r="AU28" i="3"/>
  <c r="BF27" i="3"/>
  <c r="Z27" i="3"/>
  <c r="AW26" i="3"/>
  <c r="Q26" i="3"/>
  <c r="AR25" i="3"/>
  <c r="L25" i="3"/>
  <c r="AM24" i="3"/>
  <c r="G24" i="3"/>
  <c r="AH23" i="3"/>
  <c r="BE22" i="3"/>
  <c r="Y22" i="3"/>
  <c r="AZ21" i="3"/>
  <c r="T21" i="3"/>
  <c r="AY36" i="3"/>
  <c r="AJ35" i="3"/>
  <c r="AE34" i="3"/>
  <c r="AM33" i="3"/>
  <c r="BE32" i="3"/>
  <c r="M32" i="3"/>
  <c r="AG31" i="3"/>
  <c r="BL30" i="3"/>
  <c r="AI30" i="3"/>
  <c r="G30" i="3"/>
  <c r="AL29" i="3"/>
  <c r="H29" i="3"/>
  <c r="AT28" i="3"/>
  <c r="Y28" i="3"/>
  <c r="BJ27" i="3"/>
  <c r="AS27" i="3"/>
  <c r="AC27" i="3"/>
  <c r="M27" i="3"/>
  <c r="BD26" i="3"/>
  <c r="AN26" i="3"/>
  <c r="X26" i="3"/>
  <c r="H26" i="3"/>
  <c r="AY25" i="3"/>
  <c r="AI25" i="3"/>
  <c r="S25" i="3"/>
  <c r="BJ24" i="3"/>
  <c r="AT24" i="3"/>
  <c r="AD24" i="3"/>
  <c r="N24" i="3"/>
  <c r="BA23" i="3"/>
  <c r="AK23" i="3"/>
  <c r="U23" i="3"/>
  <c r="BL22" i="3"/>
  <c r="AV22" i="3"/>
  <c r="AF22" i="3"/>
  <c r="P22" i="3"/>
  <c r="BG21" i="3"/>
  <c r="AQ21" i="3"/>
  <c r="AA21" i="3"/>
  <c r="K21" i="3"/>
  <c r="BB20" i="3"/>
  <c r="AZ37" i="3"/>
  <c r="Z36" i="3"/>
  <c r="BH34" i="3"/>
  <c r="BF33" i="3"/>
  <c r="O33" i="3"/>
  <c r="U32" i="3"/>
  <c r="AL31" i="3"/>
  <c r="H30" i="3"/>
  <c r="Z28" i="3"/>
  <c r="AT27" i="3"/>
  <c r="N27" i="3"/>
  <c r="AK26" i="3"/>
  <c r="BL25" i="3"/>
  <c r="AF25" i="3"/>
  <c r="BG24" i="3"/>
  <c r="AA24" i="3"/>
  <c r="BB23" i="3"/>
  <c r="V23" i="3"/>
  <c r="AS22" i="3"/>
  <c r="M22" i="3"/>
  <c r="AN21" i="3"/>
  <c r="H21" i="3"/>
  <c r="AD36" i="3"/>
  <c r="T35" i="3"/>
  <c r="O34" i="3"/>
  <c r="AD33" i="3"/>
  <c r="AS32" i="3"/>
  <c r="BI31" i="3"/>
  <c r="Z31" i="3"/>
  <c r="BD30" i="3"/>
  <c r="AB30" i="3"/>
  <c r="BG29" i="3"/>
  <c r="AD29" i="3"/>
  <c r="BJ28" i="3"/>
  <c r="AO28" i="3"/>
  <c r="S28" i="3"/>
  <c r="BE27" i="3"/>
  <c r="AO27" i="3"/>
  <c r="Y27" i="3"/>
  <c r="I27" i="3"/>
  <c r="AZ26" i="3"/>
  <c r="AJ26" i="3"/>
  <c r="T26" i="3"/>
  <c r="BK25" i="3"/>
  <c r="AU25" i="3"/>
  <c r="AE25" i="3"/>
  <c r="O25" i="3"/>
  <c r="BF24" i="3"/>
  <c r="AP24" i="3"/>
  <c r="Z24" i="3"/>
  <c r="J24" i="3"/>
  <c r="AW23" i="3"/>
  <c r="AG23" i="3"/>
  <c r="Q23" i="3"/>
  <c r="BH22" i="3"/>
  <c r="AR22" i="3"/>
  <c r="AB22" i="3"/>
  <c r="L22" i="3"/>
  <c r="BC21" i="3"/>
  <c r="AM21" i="3"/>
  <c r="W21" i="3"/>
  <c r="G21" i="3"/>
  <c r="AX20" i="3"/>
  <c r="AE37" i="3"/>
  <c r="AW35" i="3"/>
  <c r="AR34" i="3"/>
  <c r="AU33" i="3"/>
  <c r="BA32" i="3"/>
  <c r="J32" i="3"/>
  <c r="AF31" i="3"/>
  <c r="BI30" i="3"/>
  <c r="AG30" i="3"/>
  <c r="BL29" i="3"/>
  <c r="AI29" i="3"/>
  <c r="G29" i="3"/>
  <c r="AS28" i="3"/>
  <c r="W28" i="3"/>
  <c r="BI27" i="3"/>
  <c r="AR27" i="3"/>
  <c r="AB27" i="3"/>
  <c r="L27" i="3"/>
  <c r="BC26" i="3"/>
  <c r="AM26" i="3"/>
  <c r="W26" i="3"/>
  <c r="G26" i="3"/>
  <c r="AX25" i="3"/>
  <c r="AH25" i="3"/>
  <c r="R25" i="3"/>
  <c r="BE24" i="3"/>
  <c r="AO24" i="3"/>
  <c r="Y24" i="3"/>
  <c r="I24" i="3"/>
  <c r="AZ23" i="3"/>
  <c r="AJ23" i="3"/>
  <c r="T23" i="3"/>
  <c r="BK22" i="3"/>
  <c r="AU22" i="3"/>
  <c r="AE22" i="3"/>
  <c r="O22" i="3"/>
  <c r="BF21" i="3"/>
  <c r="AP21" i="3"/>
  <c r="Z21" i="3"/>
  <c r="J21" i="3"/>
  <c r="AT33" i="3"/>
  <c r="H31" i="3"/>
  <c r="L29" i="3"/>
  <c r="AE27" i="3"/>
  <c r="Z26" i="3"/>
  <c r="U25" i="3"/>
  <c r="P24" i="3"/>
  <c r="K23" i="3"/>
  <c r="AW21" i="3"/>
  <c r="BE20" i="3"/>
  <c r="AK20" i="3"/>
  <c r="U20" i="3"/>
  <c r="BL19" i="3"/>
  <c r="AV19" i="3"/>
  <c r="AF19" i="3"/>
  <c r="P19" i="3"/>
  <c r="BG18" i="3"/>
  <c r="AQ18" i="3"/>
  <c r="AA18" i="3"/>
  <c r="K18" i="3"/>
  <c r="BC16" i="3"/>
  <c r="AM16" i="3"/>
  <c r="W16" i="3"/>
  <c r="G16" i="3"/>
  <c r="AX15" i="3"/>
  <c r="AH15" i="3"/>
  <c r="R15" i="3"/>
  <c r="BE14" i="3"/>
  <c r="AO14" i="3"/>
  <c r="Y14" i="3"/>
  <c r="I14" i="3"/>
  <c r="AH33" i="3"/>
  <c r="BH30" i="3"/>
  <c r="AQ28" i="3"/>
  <c r="AA27" i="3"/>
  <c r="V26" i="3"/>
  <c r="BH24" i="3"/>
  <c r="BC23" i="3"/>
  <c r="AX22" i="3"/>
  <c r="AS21" i="3"/>
  <c r="BD20" i="3"/>
  <c r="AJ20" i="3"/>
  <c r="T20" i="3"/>
  <c r="BK19" i="3"/>
  <c r="AU19" i="3"/>
  <c r="AE19" i="3"/>
  <c r="O19" i="3"/>
  <c r="BF18" i="3"/>
  <c r="AP18" i="3"/>
  <c r="Z18" i="3"/>
  <c r="J18" i="3"/>
  <c r="AX16" i="3"/>
  <c r="AH16" i="3"/>
  <c r="R16" i="3"/>
  <c r="BE15" i="3"/>
  <c r="AO15" i="3"/>
  <c r="Y15" i="3"/>
  <c r="I15" i="3"/>
  <c r="AZ14" i="3"/>
  <c r="AJ14" i="3"/>
  <c r="T14" i="3"/>
  <c r="AS37" i="3"/>
  <c r="W33" i="3"/>
  <c r="BA30" i="3"/>
  <c r="BG28" i="3"/>
  <c r="AM27" i="3"/>
  <c r="AH26" i="3"/>
  <c r="AC25" i="3"/>
  <c r="X24" i="3"/>
  <c r="S23" i="3"/>
  <c r="N22" i="3"/>
  <c r="I21" i="3"/>
  <c r="AR20" i="3"/>
  <c r="AA20" i="3"/>
  <c r="K20" i="3"/>
  <c r="BB19" i="3"/>
  <c r="AL19" i="3"/>
  <c r="V19" i="3"/>
  <c r="BI18" i="3"/>
  <c r="AS18" i="3"/>
  <c r="AC18" i="3"/>
  <c r="M18" i="3"/>
  <c r="BA16" i="3"/>
  <c r="AK16" i="3"/>
  <c r="U16" i="3"/>
  <c r="BL15" i="3"/>
  <c r="AV15" i="3"/>
  <c r="AF15" i="3"/>
  <c r="P15" i="3"/>
  <c r="BG14" i="3"/>
  <c r="AQ14" i="3"/>
  <c r="AA14" i="3"/>
  <c r="K14" i="3"/>
  <c r="BB13" i="3"/>
  <c r="AL13" i="3"/>
  <c r="V13" i="3"/>
  <c r="BI12" i="3"/>
  <c r="AS12" i="3"/>
  <c r="AC12" i="3"/>
  <c r="P31" i="3"/>
  <c r="AO25" i="3"/>
  <c r="U21" i="3"/>
  <c r="BE19" i="3"/>
  <c r="AZ18" i="3"/>
  <c r="AJ16" i="3"/>
  <c r="AE15" i="3"/>
  <c r="Z14" i="3"/>
  <c r="AY13" i="3"/>
  <c r="AC13" i="3"/>
  <c r="H13" i="3"/>
  <c r="AT12" i="3"/>
  <c r="X12" i="3"/>
  <c r="G12" i="3"/>
  <c r="AX11" i="3"/>
  <c r="AH11" i="3"/>
  <c r="R11" i="3"/>
  <c r="BE10" i="3"/>
  <c r="AO10" i="3"/>
  <c r="Y10" i="3"/>
  <c r="I10" i="3"/>
  <c r="AZ9" i="3"/>
  <c r="AJ9" i="3"/>
  <c r="T9" i="3"/>
  <c r="BK8" i="3"/>
  <c r="AU8" i="3"/>
  <c r="AE8" i="3"/>
  <c r="O8" i="3"/>
  <c r="BF7" i="3"/>
  <c r="AP7" i="3"/>
  <c r="Z7" i="3"/>
  <c r="J7" i="3"/>
  <c r="AW6" i="3"/>
  <c r="AG6" i="3"/>
  <c r="Q6" i="3"/>
  <c r="BH5" i="3"/>
  <c r="AR5" i="3"/>
  <c r="AB5" i="3"/>
  <c r="L5" i="3"/>
  <c r="BC4" i="3"/>
  <c r="AM4" i="3"/>
  <c r="W4" i="3"/>
  <c r="G4" i="3"/>
  <c r="AX3" i="3"/>
  <c r="AH3" i="3"/>
  <c r="R3" i="3"/>
  <c r="N33" i="3"/>
  <c r="AD26" i="3"/>
  <c r="J22" i="3"/>
  <c r="J20" i="3"/>
  <c r="BL18" i="3"/>
  <c r="BL16" i="3"/>
  <c r="BG15" i="3"/>
  <c r="BB14" i="3"/>
  <c r="BC13" i="3"/>
  <c r="AG13" i="3"/>
  <c r="L13" i="3"/>
  <c r="AX12" i="3"/>
  <c r="AB12" i="3"/>
  <c r="J12" i="3"/>
  <c r="J31" i="3"/>
  <c r="N29" i="3"/>
  <c r="AV27" i="3"/>
  <c r="AQ26" i="3"/>
  <c r="AL25" i="3"/>
  <c r="AC24" i="3"/>
  <c r="X23" i="3"/>
  <c r="S22" i="3"/>
  <c r="N21" i="3"/>
  <c r="AU27" i="3"/>
  <c r="AA23" i="3"/>
  <c r="Y20" i="3"/>
  <c r="T19" i="3"/>
  <c r="O18" i="3"/>
  <c r="K16" i="3"/>
  <c r="BI14" i="3"/>
  <c r="W34" i="3"/>
  <c r="AL26" i="3"/>
  <c r="BI21" i="3"/>
  <c r="H20" i="3"/>
  <c r="BJ18" i="3"/>
  <c r="BB16" i="3"/>
  <c r="AS15" i="3"/>
  <c r="AN14" i="3"/>
  <c r="V31" i="3"/>
  <c r="AS25" i="3"/>
  <c r="Y21" i="3"/>
  <c r="O20" i="3"/>
  <c r="AP19" i="3"/>
  <c r="J19" i="3"/>
  <c r="AK18" i="3"/>
  <c r="Q18" i="3"/>
  <c r="AW16" i="3"/>
  <c r="AC16" i="3"/>
  <c r="I16" i="3"/>
  <c r="AR15" i="3"/>
  <c r="X15" i="3"/>
  <c r="BK14" i="3"/>
  <c r="AM14" i="3"/>
  <c r="S14" i="3"/>
  <c r="BF13" i="3"/>
  <c r="AH13" i="3"/>
  <c r="N13" i="3"/>
  <c r="AW12" i="3"/>
  <c r="Y12" i="3"/>
  <c r="AY27" i="3"/>
  <c r="Z22" i="3"/>
  <c r="AO19" i="3"/>
  <c r="T18" i="3"/>
  <c r="AU15" i="3"/>
  <c r="J14" i="3"/>
  <c r="AN13" i="3"/>
  <c r="M13" i="3"/>
  <c r="AN12" i="3"/>
  <c r="O12" i="3"/>
  <c r="BB11" i="3"/>
  <c r="AD11" i="3"/>
  <c r="J11" i="3"/>
  <c r="AS10" i="3"/>
  <c r="U10" i="3"/>
  <c r="BH9" i="3"/>
  <c r="AN9" i="3"/>
  <c r="P9" i="3"/>
  <c r="BC8" i="3"/>
  <c r="AI8" i="3"/>
  <c r="K8" i="3"/>
  <c r="AX7" i="3"/>
  <c r="AD7" i="3"/>
  <c r="BI6" i="3"/>
  <c r="AO6" i="3"/>
  <c r="U6" i="3"/>
  <c r="BD5" i="3"/>
  <c r="AJ5" i="3"/>
  <c r="P5" i="3"/>
  <c r="AY4" i="3"/>
  <c r="AE4" i="3"/>
  <c r="K4" i="3"/>
  <c r="AT3" i="3"/>
  <c r="Z3" i="3"/>
  <c r="X37" i="3"/>
  <c r="Y25" i="3"/>
  <c r="AQ20" i="3"/>
  <c r="U19" i="3"/>
  <c r="AV16" i="3"/>
  <c r="AA15" i="3"/>
  <c r="BH13" i="3"/>
  <c r="AB13" i="3"/>
  <c r="BH12" i="3"/>
  <c r="AH12" i="3"/>
  <c r="BI11" i="3"/>
  <c r="AS11" i="3"/>
  <c r="AC11" i="3"/>
  <c r="M11" i="3"/>
  <c r="BD10" i="3"/>
  <c r="AN10" i="3"/>
  <c r="X10" i="3"/>
  <c r="H10" i="3"/>
  <c r="AY9" i="3"/>
  <c r="AI9" i="3"/>
  <c r="S9" i="3"/>
  <c r="BJ8" i="3"/>
  <c r="AT8" i="3"/>
  <c r="AD8" i="3"/>
  <c r="N8" i="3"/>
  <c r="BA7" i="3"/>
  <c r="AK7" i="3"/>
  <c r="U7" i="3"/>
  <c r="BL6" i="3"/>
  <c r="AV6" i="3"/>
  <c r="AF6" i="3"/>
  <c r="P6" i="3"/>
  <c r="BG5" i="3"/>
  <c r="AQ5" i="3"/>
  <c r="AA5" i="3"/>
  <c r="K5" i="3"/>
  <c r="BB4" i="3"/>
  <c r="AL4" i="3"/>
  <c r="V4" i="3"/>
  <c r="BI3" i="3"/>
  <c r="AS3" i="3"/>
  <c r="AC3" i="3"/>
  <c r="M3" i="3"/>
  <c r="Q30" i="3"/>
  <c r="I25" i="3"/>
  <c r="BG20" i="3"/>
  <c r="AG19" i="3"/>
  <c r="AB18" i="3"/>
  <c r="AB16" i="3"/>
  <c r="W15" i="3"/>
  <c r="R14" i="3"/>
  <c r="AV13" i="3"/>
  <c r="AA13" i="3"/>
  <c r="BL12" i="3"/>
  <c r="AQ12" i="3"/>
  <c r="V12" i="3"/>
  <c r="BL11" i="3"/>
  <c r="AV11" i="3"/>
  <c r="AF11" i="3"/>
  <c r="P11" i="3"/>
  <c r="BG10" i="3"/>
  <c r="AQ10" i="3"/>
  <c r="AA10" i="3"/>
  <c r="K10" i="3"/>
  <c r="BB9" i="3"/>
  <c r="AL9" i="3"/>
  <c r="V9" i="3"/>
  <c r="BI8" i="3"/>
  <c r="AS8" i="3"/>
  <c r="AC8" i="3"/>
  <c r="M8" i="3"/>
  <c r="BD7" i="3"/>
  <c r="AN7" i="3"/>
  <c r="X7" i="3"/>
  <c r="H7" i="3"/>
  <c r="AY6" i="3"/>
  <c r="AI6" i="3"/>
  <c r="S6" i="3"/>
  <c r="BJ5" i="3"/>
  <c r="AT5" i="3"/>
  <c r="AD5" i="3"/>
  <c r="N5" i="3"/>
  <c r="BA4" i="3"/>
  <c r="AK4" i="3"/>
  <c r="U4" i="3"/>
  <c r="BL3" i="3"/>
  <c r="AV3" i="3"/>
  <c r="AF3" i="3"/>
  <c r="P3" i="3"/>
  <c r="AU23" i="3"/>
  <c r="AN16" i="3"/>
  <c r="AE13" i="3"/>
  <c r="H12" i="3"/>
  <c r="BJ10" i="3"/>
  <c r="AZ8" i="3"/>
  <c r="AP6" i="3"/>
  <c r="AK5" i="3"/>
  <c r="AF4" i="3"/>
  <c r="X16" i="3"/>
  <c r="BF10" i="3"/>
  <c r="AL6" i="3"/>
  <c r="BK13" i="3"/>
  <c r="BH8" i="3"/>
  <c r="AE12" i="3"/>
  <c r="BD8" i="3"/>
  <c r="AX10" i="3"/>
  <c r="F23" i="3"/>
  <c r="AN30" i="3"/>
  <c r="AX28" i="3"/>
  <c r="AF27" i="3"/>
  <c r="AA26" i="3"/>
  <c r="V25" i="3"/>
  <c r="M24" i="3"/>
  <c r="H23" i="3"/>
  <c r="BJ21" i="3"/>
  <c r="AM34" i="3"/>
  <c r="AP26" i="3"/>
  <c r="V22" i="3"/>
  <c r="I20" i="3"/>
  <c r="BK18" i="3"/>
  <c r="BG16" i="3"/>
  <c r="BB15" i="3"/>
  <c r="AS14" i="3"/>
  <c r="AC31" i="3"/>
  <c r="Q25" i="3"/>
  <c r="BI20" i="3"/>
  <c r="AY19" i="3"/>
  <c r="AT18" i="3"/>
  <c r="AL16" i="3"/>
  <c r="AC15" i="3"/>
  <c r="X14" i="3"/>
  <c r="AA29" i="3"/>
  <c r="AN24" i="3"/>
  <c r="AW20" i="3"/>
  <c r="BJ19" i="3"/>
  <c r="AD19" i="3"/>
  <c r="BA18" i="3"/>
  <c r="AG18" i="3"/>
  <c r="I18" i="3"/>
  <c r="AS16" i="3"/>
  <c r="Y16" i="3"/>
  <c r="BH15" i="3"/>
  <c r="AN15" i="3"/>
  <c r="T15" i="3"/>
  <c r="BC14" i="3"/>
  <c r="AI14" i="3"/>
  <c r="O14" i="3"/>
  <c r="AX13" i="3"/>
  <c r="AD13" i="3"/>
  <c r="J13" i="3"/>
  <c r="AO12" i="3"/>
  <c r="U12" i="3"/>
  <c r="AT26" i="3"/>
  <c r="AV20" i="3"/>
  <c r="Y19" i="3"/>
  <c r="AZ16" i="3"/>
  <c r="O15" i="3"/>
  <c r="BI13" i="3"/>
  <c r="AI13" i="3"/>
  <c r="BJ12" i="3"/>
  <c r="AI12" i="3"/>
  <c r="K12" i="3"/>
  <c r="AT11" i="3"/>
  <c r="Z11" i="3"/>
  <c r="BI10" i="3"/>
  <c r="AK10" i="3"/>
  <c r="Q10" i="3"/>
  <c r="BD9" i="3"/>
  <c r="AF9" i="3"/>
  <c r="L9" i="3"/>
  <c r="AY8" i="3"/>
  <c r="AA8" i="3"/>
  <c r="G8" i="3"/>
  <c r="AT7" i="3"/>
  <c r="V7" i="3"/>
  <c r="BE6" i="3"/>
  <c r="AK6" i="3"/>
  <c r="M6" i="3"/>
  <c r="AZ5" i="3"/>
  <c r="AF5" i="3"/>
  <c r="H5" i="3"/>
  <c r="AU4" i="3"/>
  <c r="AA4" i="3"/>
  <c r="BJ3" i="3"/>
  <c r="AP3" i="3"/>
  <c r="V3" i="3"/>
  <c r="AS30" i="3"/>
  <c r="T24" i="3"/>
  <c r="Z20" i="3"/>
  <c r="AV18" i="3"/>
  <c r="AF16" i="3"/>
  <c r="K15" i="3"/>
  <c r="AW13" i="3"/>
  <c r="W13" i="3"/>
  <c r="BC12" i="3"/>
  <c r="W12" i="3"/>
  <c r="BE11" i="3"/>
  <c r="AO11" i="3"/>
  <c r="Y11" i="3"/>
  <c r="I11" i="3"/>
  <c r="AZ10" i="3"/>
  <c r="AJ10" i="3"/>
  <c r="T10" i="3"/>
  <c r="BK9" i="3"/>
  <c r="AU9" i="3"/>
  <c r="AE9" i="3"/>
  <c r="O9" i="3"/>
  <c r="BF8" i="3"/>
  <c r="AP8" i="3"/>
  <c r="Z8" i="3"/>
  <c r="J8" i="3"/>
  <c r="AW7" i="3"/>
  <c r="AG7" i="3"/>
  <c r="Q7" i="3"/>
  <c r="BH6" i="3"/>
  <c r="AR6" i="3"/>
  <c r="AB6" i="3"/>
  <c r="L6" i="3"/>
  <c r="BC5" i="3"/>
  <c r="AM5" i="3"/>
  <c r="W5" i="3"/>
  <c r="G5" i="3"/>
  <c r="AX4" i="3"/>
  <c r="AH4" i="3"/>
  <c r="R4" i="3"/>
  <c r="BE3" i="3"/>
  <c r="AO3" i="3"/>
  <c r="Y3" i="3"/>
  <c r="I3" i="3"/>
  <c r="AG28" i="3"/>
  <c r="BK23" i="3"/>
  <c r="AL20" i="3"/>
  <c r="Q19" i="3"/>
  <c r="L18" i="3"/>
  <c r="L16" i="3"/>
  <c r="G15" i="3"/>
  <c r="BL13" i="3"/>
  <c r="AQ13" i="3"/>
  <c r="U13" i="3"/>
  <c r="BG12" i="3"/>
  <c r="AL12" i="3"/>
  <c r="Q12" i="3"/>
  <c r="BH11" i="3"/>
  <c r="AR11" i="3"/>
  <c r="AB11" i="3"/>
  <c r="L11" i="3"/>
  <c r="BC10" i="3"/>
  <c r="AM10" i="3"/>
  <c r="W10" i="3"/>
  <c r="G10" i="3"/>
  <c r="AX9" i="3"/>
  <c r="AH9" i="3"/>
  <c r="R9" i="3"/>
  <c r="BE8" i="3"/>
  <c r="AO8" i="3"/>
  <c r="Y8" i="3"/>
  <c r="I8" i="3"/>
  <c r="AZ7" i="3"/>
  <c r="AJ7" i="3"/>
  <c r="T7" i="3"/>
  <c r="BK6" i="3"/>
  <c r="AU6" i="3"/>
  <c r="AE6" i="3"/>
  <c r="O6" i="3"/>
  <c r="BF5" i="3"/>
  <c r="AP5" i="3"/>
  <c r="Z5" i="3"/>
  <c r="J5" i="3"/>
  <c r="AW4" i="3"/>
  <c r="AG4" i="3"/>
  <c r="Q4" i="3"/>
  <c r="BH3" i="3"/>
  <c r="AR3" i="3"/>
  <c r="AB3" i="3"/>
  <c r="L3" i="3"/>
  <c r="AH20" i="3"/>
  <c r="AI15" i="3"/>
  <c r="I13" i="3"/>
  <c r="AY11" i="3"/>
  <c r="AT10" i="3"/>
  <c r="AO9" i="3"/>
  <c r="AJ8" i="3"/>
  <c r="AE7" i="3"/>
  <c r="Z6" i="3"/>
  <c r="U5" i="3"/>
  <c r="P4" i="3"/>
  <c r="K3" i="3"/>
  <c r="R20" i="3"/>
  <c r="S15" i="3"/>
  <c r="BK12" i="3"/>
  <c r="AU11" i="3"/>
  <c r="AP10" i="3"/>
  <c r="AK9" i="3"/>
  <c r="AF8" i="3"/>
  <c r="AA7" i="3"/>
  <c r="V6" i="3"/>
  <c r="BH4" i="3"/>
  <c r="BC3" i="3"/>
  <c r="AS31" i="3"/>
  <c r="BD18" i="3"/>
  <c r="AO13" i="3"/>
  <c r="P12" i="3"/>
  <c r="K11" i="3"/>
  <c r="AW9" i="3"/>
  <c r="AR8" i="3"/>
  <c r="AM7" i="3"/>
  <c r="AH6" i="3"/>
  <c r="AC5" i="3"/>
  <c r="X4" i="3"/>
  <c r="S3" i="3"/>
  <c r="W11" i="3"/>
  <c r="BJ6" i="3"/>
  <c r="AT14" i="3"/>
  <c r="AV29" i="3"/>
  <c r="L12" i="3"/>
  <c r="AY7" i="3"/>
  <c r="AE3" i="3"/>
  <c r="AC9" i="3"/>
  <c r="AY15" i="3"/>
  <c r="AS9" i="3"/>
  <c r="Y5" i="3"/>
  <c r="F10" i="3"/>
  <c r="F16" i="3"/>
  <c r="F25" i="3"/>
  <c r="F21" i="3"/>
  <c r="F31" i="3"/>
  <c r="F12" i="3"/>
  <c r="F32" i="3"/>
  <c r="F19" i="3"/>
  <c r="F4" i="3"/>
  <c r="AP22" i="3"/>
  <c r="L4" i="3"/>
  <c r="AA11" i="3"/>
  <c r="AS5" i="3"/>
  <c r="H8" i="3"/>
  <c r="AJ13" i="3"/>
  <c r="AZ24" i="3"/>
  <c r="F36" i="3"/>
  <c r="F3" i="3"/>
  <c r="F5" i="3"/>
  <c r="L30" i="3"/>
  <c r="AC28" i="3"/>
  <c r="P27" i="3"/>
  <c r="K26" i="3"/>
  <c r="BI24" i="3"/>
  <c r="BD23" i="3"/>
  <c r="AY22" i="3"/>
  <c r="AT21" i="3"/>
  <c r="AK31" i="3"/>
  <c r="AK25" i="3"/>
  <c r="BK20" i="3"/>
  <c r="AZ19" i="3"/>
  <c r="AU18" i="3"/>
  <c r="AQ16" i="3"/>
  <c r="AL15" i="3"/>
  <c r="AC14" i="3"/>
  <c r="AH29" i="3"/>
  <c r="L24" i="3"/>
  <c r="AN20" i="3"/>
  <c r="AI19" i="3"/>
  <c r="AD18" i="3"/>
  <c r="V16" i="3"/>
  <c r="M15" i="3"/>
  <c r="H14" i="3"/>
  <c r="BC27" i="3"/>
  <c r="AI23" i="3"/>
  <c r="AE20" i="3"/>
  <c r="BF19" i="3"/>
  <c r="Z19" i="3"/>
  <c r="AW18" i="3"/>
  <c r="Y18" i="3"/>
  <c r="BI16" i="3"/>
  <c r="AO16" i="3"/>
  <c r="Q16" i="3"/>
  <c r="BD15" i="3"/>
  <c r="AJ15" i="3"/>
  <c r="L15" i="3"/>
  <c r="AY14" i="3"/>
  <c r="AE14" i="3"/>
  <c r="G14" i="3"/>
  <c r="AT13" i="3"/>
  <c r="Z13" i="3"/>
  <c r="BE12" i="3"/>
  <c r="AK12" i="3"/>
  <c r="BC33" i="3"/>
  <c r="AJ24" i="3"/>
  <c r="AD20" i="3"/>
  <c r="I19" i="3"/>
  <c r="T16" i="3"/>
  <c r="BF14" i="3"/>
  <c r="BD13" i="3"/>
  <c r="X13" i="3"/>
  <c r="BD12" i="3"/>
  <c r="AD12" i="3"/>
  <c r="BJ11" i="3"/>
  <c r="AP11" i="3"/>
  <c r="V11" i="3"/>
  <c r="BA10" i="3"/>
  <c r="AG10" i="3"/>
  <c r="M10" i="3"/>
  <c r="AV9" i="3"/>
  <c r="AB9" i="3"/>
  <c r="H9" i="3"/>
  <c r="AQ8" i="3"/>
  <c r="W8" i="3"/>
  <c r="BJ7" i="3"/>
  <c r="AL7" i="3"/>
  <c r="R7" i="3"/>
  <c r="BA6" i="3"/>
  <c r="AC6" i="3"/>
  <c r="I6" i="3"/>
  <c r="AV5" i="3"/>
  <c r="X5" i="3"/>
  <c r="BK4" i="3"/>
  <c r="AQ4" i="3"/>
  <c r="S4" i="3"/>
  <c r="BF3" i="3"/>
  <c r="AL3" i="3"/>
  <c r="N3" i="3"/>
  <c r="BB28" i="3"/>
  <c r="O23" i="3"/>
  <c r="BA19" i="3"/>
  <c r="AF18" i="3"/>
  <c r="P16" i="3"/>
  <c r="AL14" i="3"/>
  <c r="AR13" i="3"/>
  <c r="Q13" i="3"/>
  <c r="AR12" i="3"/>
  <c r="R12" i="3"/>
  <c r="BA11" i="3"/>
  <c r="AK11" i="3"/>
  <c r="U11" i="3"/>
  <c r="BL10" i="3"/>
  <c r="AV10" i="3"/>
  <c r="AF10" i="3"/>
  <c r="P10" i="3"/>
  <c r="BG9" i="3"/>
  <c r="AQ9" i="3"/>
  <c r="AA9" i="3"/>
  <c r="K9" i="3"/>
  <c r="BB8" i="3"/>
  <c r="AL8" i="3"/>
  <c r="V8" i="3"/>
  <c r="BI7" i="3"/>
  <c r="AS7" i="3"/>
  <c r="AC7" i="3"/>
  <c r="M7" i="3"/>
  <c r="BD6" i="3"/>
  <c r="AN6" i="3"/>
  <c r="X6" i="3"/>
  <c r="H6" i="3"/>
  <c r="AY5" i="3"/>
  <c r="AI5" i="3"/>
  <c r="S5" i="3"/>
  <c r="BJ4" i="3"/>
  <c r="AT4" i="3"/>
  <c r="AD4" i="3"/>
  <c r="N4" i="3"/>
  <c r="BA3" i="3"/>
  <c r="AK3" i="3"/>
  <c r="U3" i="3"/>
  <c r="BH35" i="3"/>
  <c r="S27" i="3"/>
  <c r="BF22" i="3"/>
  <c r="V20" i="3"/>
  <c r="BH18" i="3"/>
  <c r="BH16" i="3"/>
  <c r="BC15" i="3"/>
  <c r="AX14" i="3"/>
  <c r="BG13" i="3"/>
  <c r="AK13" i="3"/>
  <c r="P13" i="3"/>
  <c r="BB12" i="3"/>
  <c r="AF12" i="3"/>
  <c r="M12" i="3"/>
  <c r="BD11" i="3"/>
  <c r="AN11" i="3"/>
  <c r="X11" i="3"/>
  <c r="H11" i="3"/>
  <c r="AY10" i="3"/>
  <c r="AI10" i="3"/>
  <c r="S10" i="3"/>
  <c r="BJ9" i="3"/>
  <c r="AT9" i="3"/>
  <c r="AD9" i="3"/>
  <c r="N9" i="3"/>
  <c r="BA8" i="3"/>
  <c r="AK8" i="3"/>
  <c r="U8" i="3"/>
  <c r="BL7" i="3"/>
  <c r="AV7" i="3"/>
  <c r="AF7" i="3"/>
  <c r="P7" i="3"/>
  <c r="BG6" i="3"/>
  <c r="AQ6" i="3"/>
  <c r="AA6" i="3"/>
  <c r="K6" i="3"/>
  <c r="BB5" i="3"/>
  <c r="AL5" i="3"/>
  <c r="V5" i="3"/>
  <c r="BI4" i="3"/>
  <c r="AS4" i="3"/>
  <c r="AC4" i="3"/>
  <c r="M4" i="3"/>
  <c r="BD3" i="3"/>
  <c r="AN3" i="3"/>
  <c r="X3" i="3"/>
  <c r="H3" i="3"/>
  <c r="AC19" i="3"/>
  <c r="AD14" i="3"/>
  <c r="AU12" i="3"/>
  <c r="AI11" i="3"/>
  <c r="AD10" i="3"/>
  <c r="Y9" i="3"/>
  <c r="T8" i="3"/>
  <c r="O7" i="3"/>
  <c r="J6" i="3"/>
  <c r="BL4" i="3"/>
  <c r="BG3" i="3"/>
  <c r="BC34" i="3"/>
  <c r="M19" i="3"/>
  <c r="N14" i="3"/>
  <c r="AP12" i="3"/>
  <c r="AE11" i="3"/>
  <c r="Z10" i="3"/>
  <c r="U9" i="3"/>
  <c r="P8" i="3"/>
  <c r="K7" i="3"/>
  <c r="AW5" i="3"/>
  <c r="AR4" i="3"/>
  <c r="AM3" i="3"/>
  <c r="BE25" i="3"/>
  <c r="H16" i="3"/>
  <c r="T13" i="3"/>
  <c r="BG11" i="3"/>
  <c r="BB10" i="3"/>
  <c r="AG9" i="3"/>
  <c r="AB8" i="3"/>
  <c r="W7" i="3"/>
  <c r="R6" i="3"/>
  <c r="M5" i="3"/>
  <c r="H4" i="3"/>
  <c r="AS19" i="3"/>
  <c r="R10" i="3"/>
  <c r="BE5" i="3"/>
  <c r="AH10" i="3"/>
  <c r="AN18" i="3"/>
  <c r="G11" i="3"/>
  <c r="AT6" i="3"/>
  <c r="BA20" i="3"/>
  <c r="S7" i="3"/>
  <c r="O13" i="3"/>
  <c r="AN8" i="3"/>
  <c r="T4" i="3"/>
  <c r="F22" i="3"/>
  <c r="F34" i="3"/>
  <c r="F35" i="3"/>
  <c r="F8" i="3"/>
  <c r="F11" i="3"/>
  <c r="F7" i="3"/>
  <c r="F24" i="3"/>
  <c r="F28" i="3"/>
  <c r="F26" i="3"/>
  <c r="N6" i="3"/>
  <c r="O3" i="3"/>
  <c r="F20" i="3"/>
  <c r="F18" i="3"/>
  <c r="F37" i="3"/>
  <c r="F6" i="3"/>
  <c r="BE9" i="3"/>
  <c r="Y13" i="3"/>
  <c r="BA9" i="3"/>
  <c r="AQ7" i="3"/>
  <c r="G3" i="3"/>
  <c r="AJ12" i="3"/>
  <c r="BC7" i="3"/>
  <c r="AN4" i="3"/>
  <c r="AU3" i="3"/>
  <c r="AM11" i="3"/>
  <c r="X8" i="3"/>
  <c r="F29" i="3"/>
  <c r="F9" i="3"/>
  <c r="AQ29" i="3"/>
  <c r="G28" i="3"/>
  <c r="BG26" i="3"/>
  <c r="BB25" i="3"/>
  <c r="AS24" i="3"/>
  <c r="AN23" i="3"/>
  <c r="AI22" i="3"/>
  <c r="AD21" i="3"/>
  <c r="AN29" i="3"/>
  <c r="AF24" i="3"/>
  <c r="AO20" i="3"/>
  <c r="AJ19" i="3"/>
  <c r="AE18" i="3"/>
  <c r="AA16" i="3"/>
  <c r="V15" i="3"/>
  <c r="M14" i="3"/>
  <c r="AQ27" i="3"/>
  <c r="G23" i="3"/>
  <c r="X20" i="3"/>
  <c r="S19" i="3"/>
  <c r="N18" i="3"/>
  <c r="BI15" i="3"/>
  <c r="BD14" i="3"/>
  <c r="G34" i="3"/>
  <c r="AX26" i="3"/>
  <c r="AD22" i="3"/>
  <c r="S20" i="3"/>
  <c r="AT19" i="3"/>
  <c r="N19" i="3"/>
  <c r="AO18" i="3"/>
  <c r="U18" i="3"/>
  <c r="BE16" i="3"/>
  <c r="AG16" i="3"/>
  <c r="M16" i="3"/>
  <c r="AZ15" i="3"/>
  <c r="AB15" i="3"/>
  <c r="H15" i="3"/>
  <c r="AU14" i="3"/>
  <c r="W14" i="3"/>
  <c r="BJ13" i="3"/>
  <c r="AP13" i="3"/>
  <c r="R13" i="3"/>
  <c r="BA12" i="3"/>
  <c r="AG12" i="3"/>
  <c r="S29" i="3"/>
  <c r="AE23" i="3"/>
  <c r="N20" i="3"/>
  <c r="AJ18" i="3"/>
  <c r="BK15" i="3"/>
  <c r="AP14" i="3"/>
  <c r="AS13" i="3"/>
  <c r="S13" i="3"/>
  <c r="AY12" i="3"/>
  <c r="S12" i="3"/>
  <c r="BF11" i="3"/>
  <c r="AL11" i="3"/>
  <c r="N11" i="3"/>
  <c r="AW10" i="3"/>
  <c r="AC10" i="3"/>
  <c r="BL9" i="3"/>
  <c r="AR9" i="3"/>
  <c r="X9" i="3"/>
  <c r="BG8" i="3"/>
  <c r="AM8" i="3"/>
  <c r="S8" i="3"/>
  <c r="BB7" i="3"/>
  <c r="AH7" i="3"/>
  <c r="N7" i="3"/>
  <c r="AS6" i="3"/>
  <c r="Y6" i="3"/>
  <c r="BL5" i="3"/>
  <c r="AN5" i="3"/>
  <c r="T5" i="3"/>
  <c r="BG4" i="3"/>
  <c r="AI4" i="3"/>
  <c r="O4" i="3"/>
  <c r="BB3" i="3"/>
  <c r="AD3" i="3"/>
  <c r="J3" i="3"/>
  <c r="AI27" i="3"/>
  <c r="BL20" i="3"/>
  <c r="AK19" i="3"/>
  <c r="P18" i="3"/>
  <c r="AQ15" i="3"/>
  <c r="V14" i="3"/>
  <c r="AM13" i="3"/>
  <c r="G13" i="3"/>
  <c r="AM12" i="3"/>
  <c r="N12" i="3"/>
  <c r="AW11" i="3"/>
  <c r="AG11" i="3"/>
  <c r="Q11" i="3"/>
  <c r="BH10" i="3"/>
  <c r="AR10" i="3"/>
  <c r="AB10" i="3"/>
  <c r="L10" i="3"/>
  <c r="BC9" i="3"/>
  <c r="AM9" i="3"/>
  <c r="W9" i="3"/>
  <c r="G9" i="3"/>
  <c r="AX8" i="3"/>
  <c r="AH8" i="3"/>
  <c r="R8" i="3"/>
  <c r="BE7" i="3"/>
  <c r="AO7" i="3"/>
  <c r="Y7" i="3"/>
  <c r="I7" i="3"/>
  <c r="AZ6" i="3"/>
  <c r="AJ6" i="3"/>
  <c r="T6" i="3"/>
  <c r="BK5" i="3"/>
  <c r="AU5" i="3"/>
  <c r="AE5" i="3"/>
  <c r="O5" i="3"/>
  <c r="BF4" i="3"/>
  <c r="AP4" i="3"/>
  <c r="Z4" i="3"/>
  <c r="J4" i="3"/>
  <c r="AW3" i="3"/>
  <c r="AG3" i="3"/>
  <c r="Q3" i="3"/>
  <c r="AC32" i="3"/>
  <c r="N26" i="3"/>
  <c r="BA21" i="3"/>
  <c r="AW19" i="3"/>
  <c r="AR18" i="3"/>
  <c r="AR16" i="3"/>
  <c r="AM15" i="3"/>
  <c r="AH14" i="3"/>
  <c r="BA13" i="3"/>
  <c r="AF13" i="3"/>
  <c r="K13" i="3"/>
  <c r="AV12" i="3"/>
  <c r="AA12" i="3"/>
  <c r="I12" i="3"/>
  <c r="AZ11" i="3"/>
  <c r="AJ11" i="3"/>
  <c r="T11" i="3"/>
  <c r="BK10" i="3"/>
  <c r="AU10" i="3"/>
  <c r="AE10" i="3"/>
  <c r="O10" i="3"/>
  <c r="BF9" i="3"/>
  <c r="AP9" i="3"/>
  <c r="Z9" i="3"/>
  <c r="J9" i="3"/>
  <c r="AW8" i="3"/>
  <c r="AG8" i="3"/>
  <c r="Q8" i="3"/>
  <c r="BH7" i="3"/>
  <c r="AR7" i="3"/>
  <c r="AB7" i="3"/>
  <c r="L7" i="3"/>
  <c r="BC6" i="3"/>
  <c r="AM6" i="3"/>
  <c r="W6" i="3"/>
  <c r="G6" i="3"/>
  <c r="AX5" i="3"/>
  <c r="AH5" i="3"/>
  <c r="R5" i="3"/>
  <c r="BE4" i="3"/>
  <c r="AO4" i="3"/>
  <c r="Y4" i="3"/>
  <c r="I4" i="3"/>
  <c r="AZ3" i="3"/>
  <c r="AJ3" i="3"/>
  <c r="T3" i="3"/>
  <c r="K28" i="3"/>
  <c r="X18" i="3"/>
  <c r="AZ13" i="3"/>
  <c r="Z12" i="3"/>
  <c r="S11" i="3"/>
  <c r="N10" i="3"/>
  <c r="I9" i="3"/>
  <c r="BK7" i="3"/>
  <c r="BF6" i="3"/>
  <c r="BA5" i="3"/>
  <c r="AV4" i="3"/>
  <c r="AQ3" i="3"/>
  <c r="BJ26" i="3"/>
  <c r="H18" i="3"/>
  <c r="AU13" i="3"/>
  <c r="T12" i="3"/>
  <c r="O11" i="3"/>
  <c r="J10" i="3"/>
  <c r="BL8" i="3"/>
  <c r="BG7" i="3"/>
  <c r="BB6" i="3"/>
  <c r="AG5" i="3"/>
  <c r="AB4" i="3"/>
  <c r="W3" i="3"/>
  <c r="AK21" i="3"/>
  <c r="BJ14" i="3"/>
  <c r="BF12" i="3"/>
  <c r="AQ11" i="3"/>
  <c r="AL10" i="3"/>
  <c r="Q9" i="3"/>
  <c r="L8" i="3"/>
  <c r="G7" i="3"/>
  <c r="BI5" i="3"/>
  <c r="BD4" i="3"/>
  <c r="AY3" i="3"/>
  <c r="BE13" i="3"/>
  <c r="M9" i="3"/>
  <c r="AZ4" i="3"/>
  <c r="I5" i="3"/>
  <c r="BD16" i="3"/>
  <c r="BI9" i="3"/>
  <c r="AO5" i="3"/>
  <c r="AZ12" i="3"/>
  <c r="BC11" i="3"/>
  <c r="AI7" i="3"/>
  <c r="F15" i="3"/>
  <c r="F33" i="3"/>
  <c r="F27" i="3"/>
  <c r="F30" i="3"/>
  <c r="AU7" i="3"/>
  <c r="AA3" i="3"/>
  <c r="BK11" i="3"/>
  <c r="AV8" i="3"/>
  <c r="Q5" i="3"/>
  <c r="BI19" i="3"/>
  <c r="V10" i="3"/>
  <c r="AX6" i="3"/>
  <c r="AI3" i="3"/>
  <c r="BK3" i="3"/>
  <c r="AJ4" i="3"/>
  <c r="AD6" i="3"/>
  <c r="F13" i="3"/>
  <c r="F14" i="3"/>
  <c r="F14" i="2" l="1"/>
  <c r="F13" i="2"/>
  <c r="AD6" i="2"/>
  <c r="AJ4" i="2"/>
  <c r="BK3" i="2"/>
  <c r="AI3" i="2"/>
  <c r="AX6" i="2"/>
  <c r="V10" i="2"/>
  <c r="BI19" i="2"/>
  <c r="Q5" i="2"/>
  <c r="AV8" i="2"/>
  <c r="BK11" i="2"/>
  <c r="AA3" i="2"/>
  <c r="AU7" i="2"/>
  <c r="F30" i="2"/>
  <c r="F27" i="2"/>
  <c r="F33" i="2"/>
  <c r="F15" i="2"/>
  <c r="AI7" i="2"/>
  <c r="BC11" i="2"/>
  <c r="AZ12" i="2"/>
  <c r="AO5" i="2"/>
  <c r="BI9" i="2"/>
  <c r="BD16" i="2"/>
  <c r="I5" i="2"/>
  <c r="AZ4" i="2"/>
  <c r="M9" i="2"/>
  <c r="BE13" i="2"/>
  <c r="AY3" i="2"/>
  <c r="BD4" i="2"/>
  <c r="BI5" i="2"/>
  <c r="G7" i="2"/>
  <c r="L8" i="2"/>
  <c r="Q9" i="2"/>
  <c r="AL10" i="2"/>
  <c r="AQ11" i="2"/>
  <c r="BF12" i="2"/>
  <c r="BJ14" i="2"/>
  <c r="AK21" i="2"/>
  <c r="W3" i="2"/>
  <c r="AB4" i="2"/>
  <c r="AG5" i="2"/>
  <c r="BB6" i="2"/>
  <c r="BG7" i="2"/>
  <c r="BL8" i="2"/>
  <c r="J10" i="2"/>
  <c r="O11" i="2"/>
  <c r="T12" i="2"/>
  <c r="AU13" i="2"/>
  <c r="H17" i="3"/>
  <c r="H17" i="2" s="1"/>
  <c r="H18" i="2"/>
  <c r="BJ26" i="2"/>
  <c r="AQ3" i="2"/>
  <c r="AV4" i="2"/>
  <c r="BA5" i="2"/>
  <c r="BF6" i="2"/>
  <c r="BK7" i="2"/>
  <c r="I9" i="2"/>
  <c r="N10" i="2"/>
  <c r="S11" i="2"/>
  <c r="Z12" i="2"/>
  <c r="AZ13" i="2"/>
  <c r="X17" i="3"/>
  <c r="X17" i="2" s="1"/>
  <c r="X18" i="2"/>
  <c r="K28" i="2"/>
  <c r="T3" i="2"/>
  <c r="AJ3" i="2"/>
  <c r="AZ3" i="2"/>
  <c r="I4" i="2"/>
  <c r="Y4" i="2"/>
  <c r="AO4" i="2"/>
  <c r="BE4" i="2"/>
  <c r="R5" i="2"/>
  <c r="AH5" i="2"/>
  <c r="AX5" i="2"/>
  <c r="G6" i="2"/>
  <c r="W6" i="2"/>
  <c r="AM6" i="2"/>
  <c r="BC6" i="2"/>
  <c r="L7" i="2"/>
  <c r="AB7" i="2"/>
  <c r="AR7" i="2"/>
  <c r="BH7" i="2"/>
  <c r="Q8" i="2"/>
  <c r="AG8" i="2"/>
  <c r="AW8" i="2"/>
  <c r="J9" i="2"/>
  <c r="Z9" i="2"/>
  <c r="AP9" i="2"/>
  <c r="BF9" i="2"/>
  <c r="O10" i="2"/>
  <c r="AE10" i="2"/>
  <c r="AU10" i="2"/>
  <c r="BK10" i="2"/>
  <c r="T11" i="2"/>
  <c r="AJ11" i="2"/>
  <c r="AZ11" i="2"/>
  <c r="I12" i="2"/>
  <c r="AA12" i="2"/>
  <c r="AV12" i="2"/>
  <c r="K13" i="2"/>
  <c r="AF13" i="2"/>
  <c r="BA13" i="2"/>
  <c r="AH14" i="2"/>
  <c r="AM15" i="2"/>
  <c r="AR16" i="2"/>
  <c r="AR17" i="3"/>
  <c r="AR17" i="2" s="1"/>
  <c r="AR18" i="2"/>
  <c r="AW19" i="2"/>
  <c r="BA21" i="2"/>
  <c r="N26" i="2"/>
  <c r="AC32" i="2"/>
  <c r="Q3" i="2"/>
  <c r="AG3" i="2"/>
  <c r="AW3" i="2"/>
  <c r="J4" i="2"/>
  <c r="Z4" i="2"/>
  <c r="AP4" i="2"/>
  <c r="BF4" i="2"/>
  <c r="O5" i="2"/>
  <c r="AE5" i="2"/>
  <c r="AU5" i="2"/>
  <c r="BK5" i="2"/>
  <c r="T6" i="2"/>
  <c r="AJ6" i="2"/>
  <c r="AZ6" i="2"/>
  <c r="I7" i="2"/>
  <c r="Y7" i="2"/>
  <c r="AO7" i="2"/>
  <c r="BE7" i="2"/>
  <c r="R8" i="2"/>
  <c r="AH8" i="2"/>
  <c r="AX8" i="2"/>
  <c r="G9" i="2"/>
  <c r="W9" i="2"/>
  <c r="AM9" i="2"/>
  <c r="BC9" i="2"/>
  <c r="L10" i="2"/>
  <c r="AB10" i="2"/>
  <c r="AR10" i="2"/>
  <c r="BH10" i="2"/>
  <c r="Q11" i="2"/>
  <c r="AG11" i="2"/>
  <c r="AW11" i="2"/>
  <c r="N12" i="2"/>
  <c r="AM12" i="2"/>
  <c r="G13" i="2"/>
  <c r="AM13" i="2"/>
  <c r="V14" i="2"/>
  <c r="AQ15" i="2"/>
  <c r="P17" i="3"/>
  <c r="P17" i="2" s="1"/>
  <c r="P18" i="2"/>
  <c r="AK19" i="2"/>
  <c r="BL20" i="2"/>
  <c r="AI27" i="2"/>
  <c r="J3" i="2"/>
  <c r="AD3" i="2"/>
  <c r="BB3" i="2"/>
  <c r="O4" i="2"/>
  <c r="AI4" i="2"/>
  <c r="BG4" i="2"/>
  <c r="T5" i="2"/>
  <c r="AN5" i="2"/>
  <c r="BL5" i="2"/>
  <c r="Y6" i="2"/>
  <c r="AS6" i="2"/>
  <c r="N7" i="2"/>
  <c r="AH7" i="2"/>
  <c r="BB7" i="2"/>
  <c r="S8" i="2"/>
  <c r="AM8" i="2"/>
  <c r="BG8" i="2"/>
  <c r="X9" i="2"/>
  <c r="AR9" i="2"/>
  <c r="BL9" i="2"/>
  <c r="AC10" i="2"/>
  <c r="AW10" i="2"/>
  <c r="N11" i="2"/>
  <c r="AL11" i="2"/>
  <c r="BF11" i="2"/>
  <c r="S12" i="2"/>
  <c r="AY12" i="2"/>
  <c r="S13" i="2"/>
  <c r="AS13" i="2"/>
  <c r="AP14" i="2"/>
  <c r="BK15" i="2"/>
  <c r="AJ17" i="3"/>
  <c r="AJ17" i="2" s="1"/>
  <c r="AJ18" i="2"/>
  <c r="N20" i="2"/>
  <c r="AE23" i="2"/>
  <c r="S29" i="2"/>
  <c r="AG12" i="2"/>
  <c r="BA12" i="2"/>
  <c r="R13" i="2"/>
  <c r="AP13" i="2"/>
  <c r="BJ13" i="2"/>
  <c r="W14" i="2"/>
  <c r="AU14" i="2"/>
  <c r="H15" i="2"/>
  <c r="AB15" i="2"/>
  <c r="AZ15" i="2"/>
  <c r="M16" i="2"/>
  <c r="AG16" i="2"/>
  <c r="BE16" i="2"/>
  <c r="U17" i="3"/>
  <c r="U17" i="2" s="1"/>
  <c r="U18" i="2"/>
  <c r="AO17" i="3"/>
  <c r="AO17" i="2" s="1"/>
  <c r="AO18" i="2"/>
  <c r="N19" i="2"/>
  <c r="AT19" i="2"/>
  <c r="S20" i="2"/>
  <c r="AD22" i="2"/>
  <c r="AX26" i="2"/>
  <c r="G34" i="2"/>
  <c r="BD14" i="2"/>
  <c r="BI15" i="2"/>
  <c r="N17" i="3"/>
  <c r="N17" i="2" s="1"/>
  <c r="N18" i="2"/>
  <c r="S19" i="2"/>
  <c r="X20" i="2"/>
  <c r="G23" i="2"/>
  <c r="AQ27" i="2"/>
  <c r="M14" i="2"/>
  <c r="V15" i="2"/>
  <c r="AA16" i="2"/>
  <c r="AE17" i="3"/>
  <c r="AE17" i="2" s="1"/>
  <c r="AE18" i="2"/>
  <c r="AJ19" i="2"/>
  <c r="AO20" i="2"/>
  <c r="AF24" i="2"/>
  <c r="AN29" i="2"/>
  <c r="AD21" i="2"/>
  <c r="AI22" i="2"/>
  <c r="AN23" i="2"/>
  <c r="AS24" i="2"/>
  <c r="BB25" i="2"/>
  <c r="BG26" i="2"/>
  <c r="G28" i="2"/>
  <c r="AQ29" i="2"/>
  <c r="F9" i="2"/>
  <c r="F29" i="2"/>
  <c r="X8" i="2"/>
  <c r="AM11" i="2"/>
  <c r="AU3" i="2"/>
  <c r="AN4" i="2"/>
  <c r="BC7" i="2"/>
  <c r="AJ12" i="2"/>
  <c r="G3" i="2"/>
  <c r="AQ7" i="2"/>
  <c r="BA9" i="2"/>
  <c r="Y13" i="2"/>
  <c r="BE9" i="2"/>
  <c r="F6" i="2"/>
  <c r="F37" i="2"/>
  <c r="F17" i="3"/>
  <c r="F17" i="2" s="1"/>
  <c r="F18" i="2"/>
  <c r="F20" i="2"/>
  <c r="O3" i="2"/>
  <c r="N6" i="2"/>
  <c r="F26" i="2"/>
  <c r="F28" i="2"/>
  <c r="F24" i="2"/>
  <c r="F7" i="2"/>
  <c r="F11" i="2"/>
  <c r="F8" i="2"/>
  <c r="F35" i="2"/>
  <c r="F34" i="2"/>
  <c r="F22" i="2"/>
  <c r="T4" i="2"/>
  <c r="AN8" i="2"/>
  <c r="O13" i="2"/>
  <c r="S7" i="2"/>
  <c r="BA20" i="2"/>
  <c r="AT6" i="2"/>
  <c r="G11" i="2"/>
  <c r="AN17" i="3"/>
  <c r="AN17" i="2" s="1"/>
  <c r="AN18" i="2"/>
  <c r="AH10" i="2"/>
  <c r="BE5" i="2"/>
  <c r="R10" i="2"/>
  <c r="AS19" i="2"/>
  <c r="H4" i="2"/>
  <c r="M5" i="2"/>
  <c r="R6" i="2"/>
  <c r="W7" i="2"/>
  <c r="AB8" i="2"/>
  <c r="AG9" i="2"/>
  <c r="BB10" i="2"/>
  <c r="BG11" i="2"/>
  <c r="T13" i="2"/>
  <c r="H16" i="2"/>
  <c r="BE25" i="2"/>
  <c r="AM3" i="2"/>
  <c r="AR4" i="2"/>
  <c r="AW5" i="2"/>
  <c r="K7" i="2"/>
  <c r="P8" i="2"/>
  <c r="U9" i="2"/>
  <c r="Z10" i="2"/>
  <c r="AE11" i="2"/>
  <c r="AP12" i="2"/>
  <c r="N14" i="2"/>
  <c r="M19" i="2"/>
  <c r="BC34" i="2"/>
  <c r="BG3" i="2"/>
  <c r="BL4" i="2"/>
  <c r="J6" i="2"/>
  <c r="O7" i="2"/>
  <c r="T8" i="2"/>
  <c r="Y9" i="2"/>
  <c r="AD10" i="2"/>
  <c r="AI11" i="2"/>
  <c r="AU12" i="2"/>
  <c r="AD14" i="2"/>
  <c r="AC19" i="2"/>
  <c r="H3" i="2"/>
  <c r="X3" i="2"/>
  <c r="AN3" i="2"/>
  <c r="BD3" i="2"/>
  <c r="M4" i="2"/>
  <c r="AC4" i="2"/>
  <c r="AS4" i="2"/>
  <c r="BI4" i="2"/>
  <c r="V5" i="2"/>
  <c r="AL5" i="2"/>
  <c r="BB5" i="2"/>
  <c r="K6" i="2"/>
  <c r="AA6" i="2"/>
  <c r="AQ6" i="2"/>
  <c r="BG6" i="2"/>
  <c r="P7" i="2"/>
  <c r="AF7" i="2"/>
  <c r="AV7" i="2"/>
  <c r="BL7" i="2"/>
  <c r="U8" i="2"/>
  <c r="AK8" i="2"/>
  <c r="BA8" i="2"/>
  <c r="N9" i="2"/>
  <c r="AD9" i="2"/>
  <c r="AT9" i="2"/>
  <c r="BJ9" i="2"/>
  <c r="S10" i="2"/>
  <c r="AI10" i="2"/>
  <c r="AY10" i="2"/>
  <c r="H11" i="2"/>
  <c r="X11" i="2"/>
  <c r="AN11" i="2"/>
  <c r="BD11" i="2"/>
  <c r="M12" i="2"/>
  <c r="AF12" i="2"/>
  <c r="BB12" i="2"/>
  <c r="P13" i="2"/>
  <c r="AK13" i="2"/>
  <c r="BG13" i="2"/>
  <c r="AX14" i="2"/>
  <c r="BC15" i="2"/>
  <c r="BH16" i="2"/>
  <c r="BH17" i="3"/>
  <c r="BH17" i="2" s="1"/>
  <c r="BH18" i="2"/>
  <c r="V20" i="2"/>
  <c r="BF22" i="2"/>
  <c r="S27" i="2"/>
  <c r="BH35" i="2"/>
  <c r="U3" i="2"/>
  <c r="AK3" i="2"/>
  <c r="BA3" i="2"/>
  <c r="N4" i="2"/>
  <c r="AD4" i="2"/>
  <c r="AT4" i="2"/>
  <c r="BJ4" i="2"/>
  <c r="S5" i="2"/>
  <c r="AI5" i="2"/>
  <c r="AY5" i="2"/>
  <c r="H6" i="2"/>
  <c r="X6" i="2"/>
  <c r="AN6" i="2"/>
  <c r="BD6" i="2"/>
  <c r="M7" i="2"/>
  <c r="AC7" i="2"/>
  <c r="AS7" i="2"/>
  <c r="BI7" i="2"/>
  <c r="V8" i="2"/>
  <c r="AL8" i="2"/>
  <c r="BB8" i="2"/>
  <c r="K9" i="2"/>
  <c r="AA9" i="2"/>
  <c r="AQ9" i="2"/>
  <c r="BG9" i="2"/>
  <c r="P10" i="2"/>
  <c r="AF10" i="2"/>
  <c r="AV10" i="2"/>
  <c r="BL10" i="2"/>
  <c r="U11" i="2"/>
  <c r="AK11" i="2"/>
  <c r="BA11" i="2"/>
  <c r="R12" i="2"/>
  <c r="AR12" i="2"/>
  <c r="Q13" i="2"/>
  <c r="AR13" i="2"/>
  <c r="AL14" i="2"/>
  <c r="P16" i="2"/>
  <c r="AF17" i="3"/>
  <c r="AF17" i="2" s="1"/>
  <c r="AF18" i="2"/>
  <c r="BA19" i="2"/>
  <c r="O23" i="2"/>
  <c r="BB28" i="2"/>
  <c r="N3" i="2"/>
  <c r="AL3" i="2"/>
  <c r="BF3" i="2"/>
  <c r="S4" i="2"/>
  <c r="AQ4" i="2"/>
  <c r="BK4" i="2"/>
  <c r="X5" i="2"/>
  <c r="AV5" i="2"/>
  <c r="I6" i="2"/>
  <c r="AC6" i="2"/>
  <c r="BA6" i="2"/>
  <c r="R7" i="2"/>
  <c r="AL7" i="2"/>
  <c r="BJ7" i="2"/>
  <c r="W8" i="2"/>
  <c r="AQ8" i="2"/>
  <c r="H9" i="2"/>
  <c r="AB9" i="2"/>
  <c r="AV9" i="2"/>
  <c r="M10" i="2"/>
  <c r="AG10" i="2"/>
  <c r="BA10" i="2"/>
  <c r="V11" i="2"/>
  <c r="AP11" i="2"/>
  <c r="BJ11" i="2"/>
  <c r="AD12" i="2"/>
  <c r="BD12" i="2"/>
  <c r="X13" i="2"/>
  <c r="BD13" i="2"/>
  <c r="BF14" i="2"/>
  <c r="T16" i="2"/>
  <c r="I19" i="2"/>
  <c r="AD20" i="2"/>
  <c r="AJ24" i="2"/>
  <c r="BC33" i="2"/>
  <c r="AK12" i="2"/>
  <c r="BE12" i="2"/>
  <c r="Z13" i="2"/>
  <c r="AT13" i="2"/>
  <c r="G14" i="2"/>
  <c r="AE14" i="2"/>
  <c r="AY14" i="2"/>
  <c r="L15" i="2"/>
  <c r="AJ15" i="2"/>
  <c r="BD15" i="2"/>
  <c r="Q16" i="2"/>
  <c r="AO16" i="2"/>
  <c r="BI16" i="2"/>
  <c r="Y17" i="3"/>
  <c r="Y17" i="2" s="1"/>
  <c r="Y18" i="2"/>
  <c r="AW17" i="3"/>
  <c r="AW17" i="2" s="1"/>
  <c r="AW18" i="2"/>
  <c r="Z19" i="2"/>
  <c r="BF19" i="2"/>
  <c r="AE20" i="2"/>
  <c r="AI23" i="2"/>
  <c r="BC27" i="2"/>
  <c r="H14" i="2"/>
  <c r="M15" i="2"/>
  <c r="V16" i="2"/>
  <c r="AD17" i="3"/>
  <c r="AD17" i="2" s="1"/>
  <c r="AD18" i="2"/>
  <c r="AI19" i="2"/>
  <c r="AN20" i="2"/>
  <c r="L24" i="2"/>
  <c r="AH29" i="2"/>
  <c r="AC14" i="2"/>
  <c r="AL15" i="2"/>
  <c r="AQ16" i="2"/>
  <c r="AU17" i="3"/>
  <c r="AU17" i="2" s="1"/>
  <c r="AU18" i="2"/>
  <c r="AZ19" i="2"/>
  <c r="BK20" i="2"/>
  <c r="AK25" i="2"/>
  <c r="AK31" i="2"/>
  <c r="AT21" i="2"/>
  <c r="AY22" i="2"/>
  <c r="BD23" i="2"/>
  <c r="BI24" i="2"/>
  <c r="K26" i="2"/>
  <c r="P27" i="2"/>
  <c r="AC28" i="2"/>
  <c r="L30" i="2"/>
  <c r="F5" i="2"/>
  <c r="F3" i="2"/>
  <c r="F36" i="2"/>
  <c r="AZ24" i="2"/>
  <c r="AJ13" i="2"/>
  <c r="H8" i="2"/>
  <c r="AS5" i="2"/>
  <c r="AA11" i="2"/>
  <c r="L4" i="2"/>
  <c r="AP22" i="2"/>
  <c r="F4" i="2"/>
  <c r="F19" i="2"/>
  <c r="F32" i="2"/>
  <c r="F12" i="2"/>
  <c r="F31" i="2"/>
  <c r="F21" i="2"/>
  <c r="F25" i="2"/>
  <c r="F16" i="2"/>
  <c r="F10" i="2"/>
  <c r="Y5" i="2"/>
  <c r="AS9" i="2"/>
  <c r="AY15" i="2"/>
  <c r="AC9" i="2"/>
  <c r="AE3" i="2"/>
  <c r="AY7" i="2"/>
  <c r="L12" i="2"/>
  <c r="AV29" i="2"/>
  <c r="AT14" i="2"/>
  <c r="BJ6" i="2"/>
  <c r="W11" i="2"/>
  <c r="S3" i="2"/>
  <c r="X4" i="2"/>
  <c r="AC5" i="2"/>
  <c r="AH6" i="2"/>
  <c r="AM7" i="2"/>
  <c r="AR8" i="2"/>
  <c r="AW9" i="2"/>
  <c r="K11" i="2"/>
  <c r="P12" i="2"/>
  <c r="AO13" i="2"/>
  <c r="BD17" i="3"/>
  <c r="BD17" i="2" s="1"/>
  <c r="BD18" i="2"/>
  <c r="AS31" i="2"/>
  <c r="BC3" i="2"/>
  <c r="BH4" i="2"/>
  <c r="V6" i="2"/>
  <c r="AA7" i="2"/>
  <c r="AF8" i="2"/>
  <c r="AK9" i="2"/>
  <c r="AP10" i="2"/>
  <c r="AU11" i="2"/>
  <c r="BK12" i="2"/>
  <c r="S15" i="2"/>
  <c r="R20" i="2"/>
  <c r="K3" i="2"/>
  <c r="P4" i="2"/>
  <c r="U5" i="2"/>
  <c r="Z6" i="2"/>
  <c r="AE7" i="2"/>
  <c r="AJ8" i="2"/>
  <c r="AO9" i="2"/>
  <c r="AT10" i="2"/>
  <c r="AY11" i="2"/>
  <c r="I13" i="2"/>
  <c r="AI15" i="2"/>
  <c r="AH20" i="2"/>
  <c r="L3" i="2"/>
  <c r="AB3" i="2"/>
  <c r="AR3" i="2"/>
  <c r="BH3" i="2"/>
  <c r="Q4" i="2"/>
  <c r="AG4" i="2"/>
  <c r="AW4" i="2"/>
  <c r="J5" i="2"/>
  <c r="Z5" i="2"/>
  <c r="AP5" i="2"/>
  <c r="BF5" i="2"/>
  <c r="O6" i="2"/>
  <c r="AE6" i="2"/>
  <c r="AU6" i="2"/>
  <c r="BK6" i="2"/>
  <c r="T7" i="2"/>
  <c r="AJ7" i="2"/>
  <c r="AZ7" i="2"/>
  <c r="I8" i="2"/>
  <c r="Y8" i="2"/>
  <c r="AO8" i="2"/>
  <c r="BE8" i="2"/>
  <c r="R9" i="2"/>
  <c r="AH9" i="2"/>
  <c r="AX9" i="2"/>
  <c r="G10" i="2"/>
  <c r="W10" i="2"/>
  <c r="AM10" i="2"/>
  <c r="BC10" i="2"/>
  <c r="L11" i="2"/>
  <c r="AB11" i="2"/>
  <c r="AR11" i="2"/>
  <c r="BH11" i="2"/>
  <c r="Q12" i="2"/>
  <c r="AL12" i="2"/>
  <c r="BG12" i="2"/>
  <c r="U13" i="2"/>
  <c r="AQ13" i="2"/>
  <c r="BL13" i="2"/>
  <c r="G15" i="2"/>
  <c r="L16" i="2"/>
  <c r="L17" i="3"/>
  <c r="L17" i="2" s="1"/>
  <c r="L18" i="2"/>
  <c r="Q19" i="2"/>
  <c r="AL20" i="2"/>
  <c r="BK23" i="2"/>
  <c r="AG28" i="2"/>
  <c r="I3" i="2"/>
  <c r="Y3" i="2"/>
  <c r="AO3" i="2"/>
  <c r="BE3" i="2"/>
  <c r="R4" i="2"/>
  <c r="AH4" i="2"/>
  <c r="AX4" i="2"/>
  <c r="G5" i="2"/>
  <c r="W5" i="2"/>
  <c r="AM5" i="2"/>
  <c r="BC5" i="2"/>
  <c r="L6" i="2"/>
  <c r="AB6" i="2"/>
  <c r="AR6" i="2"/>
  <c r="BH6" i="2"/>
  <c r="Q7" i="2"/>
  <c r="AG7" i="2"/>
  <c r="AW7" i="2"/>
  <c r="J8" i="2"/>
  <c r="Z8" i="2"/>
  <c r="AP8" i="2"/>
  <c r="BF8" i="2"/>
  <c r="O9" i="2"/>
  <c r="AE9" i="2"/>
  <c r="AU9" i="2"/>
  <c r="BK9" i="2"/>
  <c r="T10" i="2"/>
  <c r="AJ10" i="2"/>
  <c r="AZ10" i="2"/>
  <c r="I11" i="2"/>
  <c r="Y11" i="2"/>
  <c r="AO11" i="2"/>
  <c r="BE11" i="2"/>
  <c r="W12" i="2"/>
  <c r="BC12" i="2"/>
  <c r="W13" i="2"/>
  <c r="AW13" i="2"/>
  <c r="K15" i="2"/>
  <c r="AF16" i="2"/>
  <c r="AV17" i="3"/>
  <c r="AV17" i="2" s="1"/>
  <c r="AV18" i="2"/>
  <c r="Z20" i="2"/>
  <c r="T24" i="2"/>
  <c r="AS30" i="2"/>
  <c r="V3" i="2"/>
  <c r="AP3" i="2"/>
  <c r="BJ3" i="2"/>
  <c r="AA4" i="2"/>
  <c r="AU4" i="2"/>
  <c r="H5" i="2"/>
  <c r="AF5" i="2"/>
  <c r="AZ5" i="2"/>
  <c r="M6" i="2"/>
  <c r="AK6" i="2"/>
  <c r="BE6" i="2"/>
  <c r="V7" i="2"/>
  <c r="AT7" i="2"/>
  <c r="G8" i="2"/>
  <c r="AA8" i="2"/>
  <c r="AY8" i="2"/>
  <c r="L9" i="2"/>
  <c r="AF9" i="2"/>
  <c r="BD9" i="2"/>
  <c r="Q10" i="2"/>
  <c r="AK10" i="2"/>
  <c r="BI10" i="2"/>
  <c r="Z11" i="2"/>
  <c r="AT11" i="2"/>
  <c r="K12" i="2"/>
  <c r="AI12" i="2"/>
  <c r="BJ12" i="2"/>
  <c r="AI13" i="2"/>
  <c r="BI13" i="2"/>
  <c r="O15" i="2"/>
  <c r="AZ16" i="2"/>
  <c r="Y19" i="2"/>
  <c r="AV20" i="2"/>
  <c r="AT26" i="2"/>
  <c r="U12" i="2"/>
  <c r="AO12" i="2"/>
  <c r="J13" i="2"/>
  <c r="AD13" i="2"/>
  <c r="AX13" i="2"/>
  <c r="O14" i="2"/>
  <c r="AI14" i="2"/>
  <c r="BC14" i="2"/>
  <c r="T15" i="2"/>
  <c r="AN15" i="2"/>
  <c r="BH15" i="2"/>
  <c r="Y16" i="2"/>
  <c r="AS16" i="2"/>
  <c r="I17" i="3"/>
  <c r="I17" i="2" s="1"/>
  <c r="I18" i="2"/>
  <c r="AG17" i="3"/>
  <c r="AG17" i="2" s="1"/>
  <c r="AG18" i="2"/>
  <c r="BA17" i="3"/>
  <c r="BA17" i="2" s="1"/>
  <c r="BA18" i="2"/>
  <c r="AD19" i="2"/>
  <c r="BJ19" i="2"/>
  <c r="AW20" i="2"/>
  <c r="AN24" i="2"/>
  <c r="AA29" i="2"/>
  <c r="X14" i="2"/>
  <c r="AC15" i="2"/>
  <c r="AL16" i="2"/>
  <c r="AT17" i="3"/>
  <c r="AT17" i="2" s="1"/>
  <c r="AT18" i="2"/>
  <c r="AY19" i="2"/>
  <c r="BI20" i="2"/>
  <c r="Q25" i="2"/>
  <c r="AC31" i="2"/>
  <c r="AS14" i="2"/>
  <c r="BB15" i="2"/>
  <c r="BG16" i="2"/>
  <c r="BK17" i="3"/>
  <c r="BK17" i="2" s="1"/>
  <c r="BK18" i="2"/>
  <c r="I20" i="2"/>
  <c r="V22" i="2"/>
  <c r="AP26" i="2"/>
  <c r="AM34" i="2"/>
  <c r="BJ21" i="2"/>
  <c r="H23" i="2"/>
  <c r="M24" i="2"/>
  <c r="V25" i="2"/>
  <c r="AA26" i="2"/>
  <c r="AF27" i="2"/>
  <c r="AX28" i="2"/>
  <c r="AN30" i="2"/>
  <c r="F23" i="2"/>
  <c r="AX10" i="2"/>
  <c r="BD8" i="2"/>
  <c r="AE12" i="2"/>
  <c r="BH8" i="2"/>
  <c r="BK13" i="2"/>
  <c r="AL6" i="2"/>
  <c r="BF10" i="2"/>
  <c r="X16" i="2"/>
  <c r="AF4" i="2"/>
  <c r="AK5" i="2"/>
  <c r="AP6" i="2"/>
  <c r="AZ8" i="2"/>
  <c r="BJ10" i="2"/>
  <c r="H12" i="2"/>
  <c r="AE13" i="2"/>
  <c r="AN16" i="2"/>
  <c r="AU23" i="2"/>
  <c r="P3" i="2"/>
  <c r="AF3" i="2"/>
  <c r="AV3" i="2"/>
  <c r="BL3" i="2"/>
  <c r="U4" i="2"/>
  <c r="AK4" i="2"/>
  <c r="BA4" i="2"/>
  <c r="N5" i="2"/>
  <c r="AD5" i="2"/>
  <c r="AT5" i="2"/>
  <c r="BJ5" i="2"/>
  <c r="S6" i="2"/>
  <c r="AI6" i="2"/>
  <c r="AY6" i="2"/>
  <c r="H7" i="2"/>
  <c r="X7" i="2"/>
  <c r="AN7" i="2"/>
  <c r="BD7" i="2"/>
  <c r="M8" i="2"/>
  <c r="AC8" i="2"/>
  <c r="AS8" i="2"/>
  <c r="BI8" i="2"/>
  <c r="V9" i="2"/>
  <c r="AL9" i="2"/>
  <c r="BB9" i="2"/>
  <c r="K10" i="2"/>
  <c r="AA10" i="2"/>
  <c r="AQ10" i="2"/>
  <c r="BG10" i="2"/>
  <c r="P11" i="2"/>
  <c r="AF11" i="2"/>
  <c r="AV11" i="2"/>
  <c r="BL11" i="2"/>
  <c r="V12" i="2"/>
  <c r="AQ12" i="2"/>
  <c r="BL12" i="2"/>
  <c r="AA13" i="2"/>
  <c r="AV13" i="2"/>
  <c r="R14" i="2"/>
  <c r="W15" i="2"/>
  <c r="AB16" i="2"/>
  <c r="AB17" i="3"/>
  <c r="AB17" i="2" s="1"/>
  <c r="AB18" i="2"/>
  <c r="AG19" i="2"/>
  <c r="BG20" i="2"/>
  <c r="I25" i="2"/>
  <c r="Q30" i="2"/>
  <c r="M3" i="2"/>
  <c r="AC3" i="2"/>
  <c r="AS3" i="2"/>
  <c r="BI3" i="2"/>
  <c r="V4" i="2"/>
  <c r="AL4" i="2"/>
  <c r="BB4" i="2"/>
  <c r="K5" i="2"/>
  <c r="AA5" i="2"/>
  <c r="AQ5" i="2"/>
  <c r="BG5" i="2"/>
  <c r="P6" i="2"/>
  <c r="AF6" i="2"/>
  <c r="AV6" i="2"/>
  <c r="BL6" i="2"/>
  <c r="U7" i="2"/>
  <c r="AK7" i="2"/>
  <c r="BA7" i="2"/>
  <c r="N8" i="2"/>
  <c r="AD8" i="2"/>
  <c r="AT8" i="2"/>
  <c r="BJ8" i="2"/>
  <c r="S9" i="2"/>
  <c r="AI9" i="2"/>
  <c r="AY9" i="2"/>
  <c r="H10" i="2"/>
  <c r="X10" i="2"/>
  <c r="AN10" i="2"/>
  <c r="BD10" i="2"/>
  <c r="M11" i="2"/>
  <c r="AC11" i="2"/>
  <c r="AS11" i="2"/>
  <c r="BI11" i="2"/>
  <c r="AH12" i="2"/>
  <c r="BH12" i="2"/>
  <c r="AB13" i="2"/>
  <c r="BH13" i="2"/>
  <c r="AA15" i="2"/>
  <c r="AV16" i="2"/>
  <c r="U19" i="2"/>
  <c r="AQ20" i="2"/>
  <c r="Y25" i="2"/>
  <c r="X37" i="2"/>
  <c r="Z3" i="2"/>
  <c r="AT3" i="2"/>
  <c r="K4" i="2"/>
  <c r="AE4" i="2"/>
  <c r="AY4" i="2"/>
  <c r="P5" i="2"/>
  <c r="AJ5" i="2"/>
  <c r="BD5" i="2"/>
  <c r="U6" i="2"/>
  <c r="AO6" i="2"/>
  <c r="BI6" i="2"/>
  <c r="AD7" i="2"/>
  <c r="AX7" i="2"/>
  <c r="K8" i="2"/>
  <c r="AI8" i="2"/>
  <c r="BC8" i="2"/>
  <c r="P9" i="2"/>
  <c r="AN9" i="2"/>
  <c r="BH9" i="2"/>
  <c r="U10" i="2"/>
  <c r="AS10" i="2"/>
  <c r="J11" i="2"/>
  <c r="AD11" i="2"/>
  <c r="BB11" i="2"/>
  <c r="O12" i="2"/>
  <c r="AN12" i="2"/>
  <c r="M13" i="2"/>
  <c r="AN13" i="2"/>
  <c r="J14" i="2"/>
  <c r="AU15" i="2"/>
  <c r="T17" i="3"/>
  <c r="T17" i="2" s="1"/>
  <c r="T18" i="2"/>
  <c r="AO19" i="2"/>
  <c r="Z22" i="2"/>
  <c r="AY27" i="2"/>
  <c r="Y12" i="2"/>
  <c r="AW12" i="2"/>
  <c r="N13" i="2"/>
  <c r="AH13" i="2"/>
  <c r="BF13" i="2"/>
  <c r="S14" i="2"/>
  <c r="AM14" i="2"/>
  <c r="BK14" i="2"/>
  <c r="X15" i="2"/>
  <c r="AR15" i="2"/>
  <c r="I16" i="2"/>
  <c r="AC16" i="2"/>
  <c r="AW16" i="2"/>
  <c r="Q17" i="3"/>
  <c r="Q17" i="2" s="1"/>
  <c r="Q18" i="2"/>
  <c r="AK17" i="3"/>
  <c r="AK17" i="2" s="1"/>
  <c r="AK18" i="2"/>
  <c r="J19" i="2"/>
  <c r="AP19" i="2"/>
  <c r="O20" i="2"/>
  <c r="Y21" i="2"/>
  <c r="AS25" i="2"/>
  <c r="V31" i="2"/>
  <c r="AN14" i="2"/>
  <c r="AS15" i="2"/>
  <c r="BB16" i="2"/>
  <c r="BJ17" i="3"/>
  <c r="BJ17" i="2" s="1"/>
  <c r="BJ18" i="2"/>
  <c r="H20" i="2"/>
  <c r="BI21" i="2"/>
  <c r="AL26" i="2"/>
  <c r="W34" i="2"/>
  <c r="BI14" i="2"/>
  <c r="K16" i="2"/>
  <c r="O17" i="3"/>
  <c r="O17" i="2" s="1"/>
  <c r="O18" i="2"/>
  <c r="T19" i="2"/>
  <c r="Y20" i="2"/>
  <c r="AA23" i="2"/>
  <c r="AU27" i="2"/>
  <c r="N21" i="2"/>
  <c r="S22" i="2"/>
  <c r="X23" i="2"/>
  <c r="AC24" i="2"/>
  <c r="AL25" i="2"/>
  <c r="AQ26" i="2"/>
  <c r="AV27" i="2"/>
  <c r="N29" i="2"/>
  <c r="J31" i="2"/>
  <c r="J12" i="2"/>
  <c r="AB12" i="2"/>
  <c r="AX12" i="2"/>
  <c r="L13" i="2"/>
  <c r="AG13" i="2"/>
  <c r="BC13" i="2"/>
  <c r="BB14" i="2"/>
  <c r="BG15" i="2"/>
  <c r="BL16" i="2"/>
  <c r="BL17" i="3"/>
  <c r="BL17" i="2" s="1"/>
  <c r="BL18" i="2"/>
  <c r="J20" i="2"/>
  <c r="J22" i="2"/>
  <c r="AD26" i="2"/>
  <c r="N33" i="2"/>
  <c r="R3" i="2"/>
  <c r="AH3" i="2"/>
  <c r="AX3" i="2"/>
  <c r="G4" i="2"/>
  <c r="W4" i="2"/>
  <c r="AM4" i="2"/>
  <c r="BC4" i="2"/>
  <c r="L5" i="2"/>
  <c r="AB5" i="2"/>
  <c r="AR5" i="2"/>
  <c r="BH5" i="2"/>
  <c r="Q6" i="2"/>
  <c r="AG6" i="2"/>
  <c r="AW6" i="2"/>
  <c r="J7" i="2"/>
  <c r="Z7" i="2"/>
  <c r="AP7" i="2"/>
  <c r="BF7" i="2"/>
  <c r="O8" i="2"/>
  <c r="AE8" i="2"/>
  <c r="AU8" i="2"/>
  <c r="BK8" i="2"/>
  <c r="T9" i="2"/>
  <c r="AJ9" i="2"/>
  <c r="AZ9" i="2"/>
  <c r="I10" i="2"/>
  <c r="Y10" i="2"/>
  <c r="AO10" i="2"/>
  <c r="BE10" i="2"/>
  <c r="R11" i="2"/>
  <c r="AH11" i="2"/>
  <c r="AX11" i="2"/>
  <c r="G12" i="2"/>
  <c r="X12" i="2"/>
  <c r="AT12" i="2"/>
  <c r="H13" i="2"/>
  <c r="AC13" i="2"/>
  <c r="AY13" i="2"/>
  <c r="Z14" i="2"/>
  <c r="AE15" i="2"/>
  <c r="AJ16" i="2"/>
  <c r="AZ17" i="3"/>
  <c r="AZ17" i="2" s="1"/>
  <c r="AZ18" i="2"/>
  <c r="BE19" i="2"/>
  <c r="U21" i="2"/>
  <c r="AO25" i="2"/>
  <c r="P31" i="2"/>
  <c r="AC12" i="2"/>
  <c r="AS12" i="2"/>
  <c r="BI12" i="2"/>
  <c r="V13" i="2"/>
  <c r="AL13" i="2"/>
  <c r="BB13" i="2"/>
  <c r="K14" i="2"/>
  <c r="AA14" i="2"/>
  <c r="AQ14" i="2"/>
  <c r="BG14" i="2"/>
  <c r="P15" i="2"/>
  <c r="AF15" i="2"/>
  <c r="AV15" i="2"/>
  <c r="BL15" i="2"/>
  <c r="U16" i="2"/>
  <c r="AK16" i="2"/>
  <c r="BA16" i="2"/>
  <c r="M17" i="3"/>
  <c r="M17" i="2" s="1"/>
  <c r="M18" i="2"/>
  <c r="AC17" i="3"/>
  <c r="AC17" i="2" s="1"/>
  <c r="AC18" i="2"/>
  <c r="AS17" i="3"/>
  <c r="AS17" i="2" s="1"/>
  <c r="AS18" i="2"/>
  <c r="BI17" i="3"/>
  <c r="BI17" i="2" s="1"/>
  <c r="BI18" i="2"/>
  <c r="V19" i="2"/>
  <c r="AL19" i="2"/>
  <c r="BB19" i="2"/>
  <c r="K20" i="2"/>
  <c r="AA20" i="2"/>
  <c r="AR20" i="2"/>
  <c r="I21" i="2"/>
  <c r="N22" i="2"/>
  <c r="S23" i="2"/>
  <c r="X24" i="2"/>
  <c r="AC25" i="2"/>
  <c r="AH26" i="2"/>
  <c r="AM27" i="2"/>
  <c r="BG28" i="2"/>
  <c r="BA30" i="2"/>
  <c r="W33" i="2"/>
  <c r="AS37" i="2"/>
  <c r="T14" i="2"/>
  <c r="AJ14" i="2"/>
  <c r="AZ14" i="2"/>
  <c r="I15" i="2"/>
  <c r="Y15" i="2"/>
  <c r="AO15" i="2"/>
  <c r="BE15" i="2"/>
  <c r="R16" i="2"/>
  <c r="AH16" i="2"/>
  <c r="AX16" i="2"/>
  <c r="J17" i="3"/>
  <c r="J17" i="2" s="1"/>
  <c r="J18" i="2"/>
  <c r="Z17" i="3"/>
  <c r="Z17" i="2" s="1"/>
  <c r="Z18" i="2"/>
  <c r="AP17" i="3"/>
  <c r="AP17" i="2" s="1"/>
  <c r="AP18" i="2"/>
  <c r="BF17" i="3"/>
  <c r="BF17" i="2" s="1"/>
  <c r="BF18" i="2"/>
  <c r="O19" i="2"/>
  <c r="AE19" i="2"/>
  <c r="AU19" i="2"/>
  <c r="BK19" i="2"/>
  <c r="T20" i="2"/>
  <c r="AJ20" i="2"/>
  <c r="BD20" i="2"/>
  <c r="AS21" i="2"/>
  <c r="AX22" i="2"/>
  <c r="BC23" i="2"/>
  <c r="BH24" i="2"/>
  <c r="V26" i="2"/>
  <c r="AA27" i="2"/>
  <c r="AQ28" i="2"/>
  <c r="BH30" i="2"/>
  <c r="AH33" i="2"/>
  <c r="I14" i="2"/>
  <c r="Y14" i="2"/>
  <c r="AO14" i="2"/>
  <c r="BE14" i="2"/>
  <c r="R15" i="2"/>
  <c r="AH15" i="2"/>
  <c r="AX15" i="2"/>
  <c r="G16" i="2"/>
  <c r="W16" i="2"/>
  <c r="AM16" i="2"/>
  <c r="BC16" i="2"/>
  <c r="K17" i="3"/>
  <c r="K17" i="2" s="1"/>
  <c r="K18" i="2"/>
  <c r="AA17" i="3"/>
  <c r="AA17" i="2" s="1"/>
  <c r="AA18" i="2"/>
  <c r="AQ17" i="3"/>
  <c r="AQ17" i="2" s="1"/>
  <c r="AQ18" i="2"/>
  <c r="BG17" i="3"/>
  <c r="BG17" i="2" s="1"/>
  <c r="BG18" i="2"/>
  <c r="P19" i="2"/>
  <c r="AF19" i="2"/>
  <c r="AV19" i="2"/>
  <c r="BL19" i="2"/>
  <c r="U20" i="2"/>
  <c r="AK20" i="2"/>
  <c r="BE20" i="2"/>
  <c r="AW21" i="2"/>
  <c r="K23" i="2"/>
  <c r="P24" i="2"/>
  <c r="U25" i="2"/>
  <c r="Z26" i="2"/>
  <c r="AE27" i="2"/>
  <c r="L29" i="2"/>
  <c r="H31" i="2"/>
  <c r="AT33" i="2"/>
  <c r="J21" i="2"/>
  <c r="Z21" i="2"/>
  <c r="AP21" i="2"/>
  <c r="BF21" i="2"/>
  <c r="O22" i="2"/>
  <c r="AE22" i="2"/>
  <c r="AU22" i="2"/>
  <c r="BK22" i="2"/>
  <c r="T23" i="2"/>
  <c r="AJ23" i="2"/>
  <c r="AZ23" i="2"/>
  <c r="I24" i="2"/>
  <c r="Y24" i="2"/>
  <c r="AO24" i="2"/>
  <c r="BE24" i="2"/>
  <c r="R25" i="2"/>
  <c r="AH25" i="2"/>
  <c r="AX25" i="2"/>
  <c r="G26" i="2"/>
  <c r="W26" i="2"/>
  <c r="AM26" i="2"/>
  <c r="BC26" i="2"/>
  <c r="L27" i="2"/>
  <c r="AB27" i="2"/>
  <c r="AR27" i="2"/>
  <c r="BI27" i="2"/>
  <c r="W28" i="2"/>
  <c r="AS28" i="2"/>
  <c r="G29" i="2"/>
  <c r="AI29" i="2"/>
  <c r="BL29" i="2"/>
  <c r="AG30" i="2"/>
  <c r="BI30" i="2"/>
  <c r="AF31" i="2"/>
  <c r="J32" i="2"/>
  <c r="BA32" i="2"/>
  <c r="AU33" i="2"/>
  <c r="AR34" i="2"/>
  <c r="AW35" i="2"/>
  <c r="AE37" i="2"/>
  <c r="AX20" i="2"/>
  <c r="G21" i="2"/>
  <c r="W21" i="2"/>
  <c r="AM21" i="2"/>
  <c r="BC21" i="2"/>
  <c r="L22" i="2"/>
  <c r="AB22" i="2"/>
  <c r="AR22" i="2"/>
  <c r="BH22" i="2"/>
  <c r="Q23" i="2"/>
  <c r="AG23" i="2"/>
  <c r="AW23" i="2"/>
  <c r="J24" i="2"/>
  <c r="Z24" i="2"/>
  <c r="AP24" i="2"/>
  <c r="BF24" i="2"/>
  <c r="O25" i="2"/>
  <c r="AE25" i="2"/>
  <c r="AU25" i="2"/>
  <c r="BK25" i="2"/>
  <c r="T26" i="2"/>
  <c r="AJ26" i="2"/>
  <c r="AZ26" i="2"/>
  <c r="I27" i="2"/>
  <c r="Y27" i="2"/>
  <c r="AO27" i="2"/>
  <c r="BE27" i="2"/>
  <c r="S28" i="2"/>
  <c r="AO28" i="2"/>
  <c r="BJ28" i="2"/>
  <c r="AD29" i="2"/>
  <c r="BG29" i="2"/>
  <c r="AB30" i="2"/>
  <c r="BD30" i="2"/>
  <c r="Z31" i="2"/>
  <c r="BI31" i="2"/>
  <c r="AS32" i="2"/>
  <c r="AD33" i="2"/>
  <c r="O34" i="2"/>
  <c r="T35" i="2"/>
  <c r="AD36" i="2"/>
  <c r="H21" i="2"/>
  <c r="AN21" i="2"/>
  <c r="M22" i="2"/>
  <c r="AS22" i="2"/>
  <c r="V23" i="2"/>
  <c r="BB23" i="2"/>
  <c r="AA24" i="2"/>
  <c r="BG24" i="2"/>
  <c r="AF25" i="2"/>
  <c r="BL25" i="2"/>
  <c r="AK26" i="2"/>
  <c r="N27" i="2"/>
  <c r="AT27" i="2"/>
  <c r="Z28" i="2"/>
  <c r="H30" i="2"/>
  <c r="AL31" i="2"/>
  <c r="U32" i="2"/>
  <c r="O33" i="2"/>
  <c r="BF33" i="2"/>
  <c r="BH34" i="2"/>
  <c r="Z36" i="2"/>
  <c r="AZ37" i="2"/>
  <c r="BB20" i="2"/>
  <c r="K21" i="2"/>
  <c r="AA21" i="2"/>
  <c r="AQ21" i="2"/>
  <c r="BG21" i="2"/>
  <c r="P22" i="2"/>
  <c r="AF22" i="2"/>
  <c r="AV22" i="2"/>
  <c r="BL22" i="2"/>
  <c r="U23" i="2"/>
  <c r="AK23" i="2"/>
  <c r="BA23" i="2"/>
  <c r="N24" i="2"/>
  <c r="AD24" i="2"/>
  <c r="AT24" i="2"/>
  <c r="BJ24" i="2"/>
  <c r="S25" i="2"/>
  <c r="AI25" i="2"/>
  <c r="AY25" i="2"/>
  <c r="H26" i="2"/>
  <c r="X26" i="2"/>
  <c r="AN26" i="2"/>
  <c r="BD26" i="2"/>
  <c r="M27" i="2"/>
  <c r="AC27" i="2"/>
  <c r="AS27" i="2"/>
  <c r="BJ27" i="2"/>
  <c r="Y28" i="2"/>
  <c r="AT28" i="2"/>
  <c r="H29" i="2"/>
  <c r="AL29" i="2"/>
  <c r="G30" i="2"/>
  <c r="AI30" i="2"/>
  <c r="BL30" i="2"/>
  <c r="AG31" i="2"/>
  <c r="M32" i="2"/>
  <c r="BE32" i="2"/>
  <c r="AM33" i="2"/>
  <c r="AE34" i="2"/>
  <c r="AJ35" i="2"/>
  <c r="AY36" i="2"/>
  <c r="T21" i="2"/>
  <c r="AZ21" i="2"/>
  <c r="Y22" i="2"/>
  <c r="BE22" i="2"/>
  <c r="AH23" i="2"/>
  <c r="G24" i="2"/>
  <c r="AM24" i="2"/>
  <c r="L25" i="2"/>
  <c r="AR25" i="2"/>
  <c r="Q26" i="2"/>
  <c r="AW26" i="2"/>
  <c r="Z27" i="2"/>
  <c r="BF27" i="2"/>
  <c r="AU28" i="2"/>
  <c r="AK30" i="2"/>
  <c r="AI20" i="2"/>
  <c r="BC20" i="2"/>
  <c r="AO21" i="2"/>
  <c r="AT22" i="2"/>
  <c r="AY23" i="2"/>
  <c r="BD24" i="2"/>
  <c r="BI25" i="2"/>
  <c r="G27" i="2"/>
  <c r="Q28" i="2"/>
  <c r="BC29" i="2"/>
  <c r="BD31" i="2"/>
  <c r="L35" i="2"/>
  <c r="L14" i="2"/>
  <c r="AB14" i="2"/>
  <c r="AR14" i="2"/>
  <c r="BH14" i="2"/>
  <c r="Q15" i="2"/>
  <c r="AG15" i="2"/>
  <c r="AW15" i="2"/>
  <c r="J16" i="2"/>
  <c r="Z16" i="2"/>
  <c r="AP16" i="2"/>
  <c r="BF16" i="2"/>
  <c r="R17" i="3"/>
  <c r="R17" i="2" s="1"/>
  <c r="R18" i="2"/>
  <c r="AH17" i="3"/>
  <c r="AH17" i="2" s="1"/>
  <c r="AH18" i="2"/>
  <c r="AX17" i="3"/>
  <c r="AX17" i="2" s="1"/>
  <c r="AX18" i="2"/>
  <c r="G19" i="2"/>
  <c r="W19" i="2"/>
  <c r="AM19" i="2"/>
  <c r="BC19" i="2"/>
  <c r="L20" i="2"/>
  <c r="AB20" i="2"/>
  <c r="AS20" i="2"/>
  <c r="M21" i="2"/>
  <c r="R22" i="2"/>
  <c r="W23" i="2"/>
  <c r="AB24" i="2"/>
  <c r="AG25" i="2"/>
  <c r="BB26" i="2"/>
  <c r="BH27" i="2"/>
  <c r="BJ29" i="2"/>
  <c r="I32" i="2"/>
  <c r="AB35" i="2"/>
  <c r="Q14" i="2"/>
  <c r="AG14" i="2"/>
  <c r="AW14" i="2"/>
  <c r="J15" i="2"/>
  <c r="Z15" i="2"/>
  <c r="AP15" i="2"/>
  <c r="BF15" i="2"/>
  <c r="O16" i="2"/>
  <c r="AE16" i="2"/>
  <c r="AU16" i="2"/>
  <c r="BK16" i="2"/>
  <c r="S17" i="3"/>
  <c r="S17" i="2" s="1"/>
  <c r="S18" i="2"/>
  <c r="AI17" i="3"/>
  <c r="AI17" i="2" s="1"/>
  <c r="AI18" i="2"/>
  <c r="AY17" i="3"/>
  <c r="AY17" i="2" s="1"/>
  <c r="AY18" i="2"/>
  <c r="H19" i="2"/>
  <c r="X19" i="2"/>
  <c r="AN19" i="2"/>
  <c r="BD19" i="2"/>
  <c r="M20" i="2"/>
  <c r="AC20" i="2"/>
  <c r="AU20" i="2"/>
  <c r="Q21" i="2"/>
  <c r="AL22" i="2"/>
  <c r="AQ23" i="2"/>
  <c r="AV24" i="2"/>
  <c r="BA25" i="2"/>
  <c r="BF26" i="2"/>
  <c r="AA28" i="2"/>
  <c r="K30" i="2"/>
  <c r="R32" i="2"/>
  <c r="AR35" i="2"/>
  <c r="R21" i="2"/>
  <c r="AH21" i="2"/>
  <c r="AX21" i="2"/>
  <c r="G22" i="2"/>
  <c r="W22" i="2"/>
  <c r="AM22" i="2"/>
  <c r="BC22" i="2"/>
  <c r="L23" i="2"/>
  <c r="AB23" i="2"/>
  <c r="AR23" i="2"/>
  <c r="BH23" i="2"/>
  <c r="Q24" i="2"/>
  <c r="AG24" i="2"/>
  <c r="AW24" i="2"/>
  <c r="J25" i="2"/>
  <c r="Z25" i="2"/>
  <c r="AP25" i="2"/>
  <c r="BF25" i="2"/>
  <c r="O26" i="2"/>
  <c r="AE26" i="2"/>
  <c r="AU26" i="2"/>
  <c r="BK26" i="2"/>
  <c r="T27" i="2"/>
  <c r="AJ27" i="2"/>
  <c r="AZ27" i="2"/>
  <c r="M28" i="2"/>
  <c r="AH28" i="2"/>
  <c r="BC28" i="2"/>
  <c r="V29" i="2"/>
  <c r="AX29" i="2"/>
  <c r="S30" i="2"/>
  <c r="AV30" i="2"/>
  <c r="Q31" i="2"/>
  <c r="AV31" i="2"/>
  <c r="AG32" i="2"/>
  <c r="Z33" i="2"/>
  <c r="L34" i="2"/>
  <c r="Q35" i="2"/>
  <c r="AU36" i="2"/>
  <c r="AP20" i="2"/>
  <c r="BF20" i="2"/>
  <c r="O21" i="2"/>
  <c r="AE21" i="2"/>
  <c r="AU21" i="2"/>
  <c r="BK21" i="2"/>
  <c r="T22" i="2"/>
  <c r="AJ22" i="2"/>
  <c r="AZ22" i="2"/>
  <c r="I23" i="2"/>
  <c r="Y23" i="2"/>
  <c r="AO23" i="2"/>
  <c r="BE23" i="2"/>
  <c r="R24" i="2"/>
  <c r="AH24" i="2"/>
  <c r="AX24" i="2"/>
  <c r="G25" i="2"/>
  <c r="W25" i="2"/>
  <c r="AM25" i="2"/>
  <c r="BC25" i="2"/>
  <c r="L26" i="2"/>
  <c r="AB26" i="2"/>
  <c r="AR26" i="2"/>
  <c r="BH26" i="2"/>
  <c r="Q27" i="2"/>
  <c r="AG27" i="2"/>
  <c r="AW27" i="2"/>
  <c r="I28" i="2"/>
  <c r="AD28" i="2"/>
  <c r="AY28" i="2"/>
  <c r="P29" i="2"/>
  <c r="AR29" i="2"/>
  <c r="M30" i="2"/>
  <c r="AQ30" i="2"/>
  <c r="L31" i="2"/>
  <c r="AN31" i="2"/>
  <c r="Y32" i="2"/>
  <c r="G33" i="2"/>
  <c r="AX33" i="2"/>
  <c r="AU34" i="2"/>
  <c r="AZ35" i="2"/>
  <c r="AI37" i="2"/>
  <c r="X21" i="2"/>
  <c r="BD21" i="2"/>
  <c r="AC22" i="2"/>
  <c r="BI22" i="2"/>
  <c r="AL23" i="2"/>
  <c r="K24" i="2"/>
  <c r="AQ24" i="2"/>
  <c r="P25" i="2"/>
  <c r="AV25" i="2"/>
  <c r="U26" i="2"/>
  <c r="BA26" i="2"/>
  <c r="AD27" i="2"/>
  <c r="BL27" i="2"/>
  <c r="K29" i="2"/>
  <c r="M31" i="2"/>
  <c r="BE17" i="3"/>
  <c r="BE17" i="2" s="1"/>
  <c r="BE18" i="2"/>
  <c r="R19" i="2"/>
  <c r="AH19" i="2"/>
  <c r="AX19" i="2"/>
  <c r="G20" i="2"/>
  <c r="W20" i="2"/>
  <c r="AM20" i="2"/>
  <c r="BH20" i="2"/>
  <c r="BE21" i="2"/>
  <c r="BJ22" i="2"/>
  <c r="H24" i="2"/>
  <c r="M25" i="2"/>
  <c r="R26" i="2"/>
  <c r="W27" i="2"/>
  <c r="AL28" i="2"/>
  <c r="X30" i="2"/>
  <c r="AO32" i="2"/>
  <c r="S36" i="2"/>
  <c r="P14" i="2"/>
  <c r="AF14" i="2"/>
  <c r="AV14" i="2"/>
  <c r="BL14" i="2"/>
  <c r="U15" i="2"/>
  <c r="AK15" i="2"/>
  <c r="BA15" i="2"/>
  <c r="N16" i="2"/>
  <c r="AD16" i="2"/>
  <c r="AT16" i="2"/>
  <c r="BJ16" i="2"/>
  <c r="V17" i="3"/>
  <c r="V17" i="2" s="1"/>
  <c r="V18" i="2"/>
  <c r="AL17" i="3"/>
  <c r="AL17" i="2" s="1"/>
  <c r="AL18" i="2"/>
  <c r="BB17" i="3"/>
  <c r="BB17" i="2" s="1"/>
  <c r="BB18" i="2"/>
  <c r="K19" i="2"/>
  <c r="AA19" i="2"/>
  <c r="AQ19" i="2"/>
  <c r="BG19" i="2"/>
  <c r="P20" i="2"/>
  <c r="AF20" i="2"/>
  <c r="AY20" i="2"/>
  <c r="AC21" i="2"/>
  <c r="AH22" i="2"/>
  <c r="AM23" i="2"/>
  <c r="AR24" i="2"/>
  <c r="AW25" i="2"/>
  <c r="K27" i="2"/>
  <c r="V28" i="2"/>
  <c r="AF30" i="2"/>
  <c r="AX32" i="2"/>
  <c r="AN36" i="2"/>
  <c r="U14" i="2"/>
  <c r="AK14" i="2"/>
  <c r="BA14" i="2"/>
  <c r="N15" i="2"/>
  <c r="AD15" i="2"/>
  <c r="AT15" i="2"/>
  <c r="BJ15" i="2"/>
  <c r="S16" i="2"/>
  <c r="AI16" i="2"/>
  <c r="AY16" i="2"/>
  <c r="G17" i="3"/>
  <c r="G17" i="2" s="1"/>
  <c r="G18" i="2"/>
  <c r="W17" i="3"/>
  <c r="W17" i="2" s="1"/>
  <c r="W18" i="2"/>
  <c r="AM17" i="3"/>
  <c r="AM17" i="2" s="1"/>
  <c r="AM18" i="2"/>
  <c r="BC17" i="3"/>
  <c r="BC17" i="2" s="1"/>
  <c r="BC18" i="2"/>
  <c r="L19" i="2"/>
  <c r="AB19" i="2"/>
  <c r="AR19" i="2"/>
  <c r="BH19" i="2"/>
  <c r="Q20" i="2"/>
  <c r="AG20" i="2"/>
  <c r="AZ20" i="2"/>
  <c r="AG21" i="2"/>
  <c r="BB22" i="2"/>
  <c r="BG23" i="2"/>
  <c r="BL24" i="2"/>
  <c r="J26" i="2"/>
  <c r="O27" i="2"/>
  <c r="AW28" i="2"/>
  <c r="AM30" i="2"/>
  <c r="BI32" i="2"/>
  <c r="BJ36" i="2"/>
  <c r="V21" i="2"/>
  <c r="AL21" i="2"/>
  <c r="BB21" i="2"/>
  <c r="K22" i="2"/>
  <c r="AA22" i="2"/>
  <c r="AQ22" i="2"/>
  <c r="BG22" i="2"/>
  <c r="P23" i="2"/>
  <c r="AF23" i="2"/>
  <c r="AV23" i="2"/>
  <c r="BL23" i="2"/>
  <c r="U24" i="2"/>
  <c r="AK24" i="2"/>
  <c r="BA24" i="2"/>
  <c r="N25" i="2"/>
  <c r="AD25" i="2"/>
  <c r="AT25" i="2"/>
  <c r="BJ25" i="2"/>
  <c r="S26" i="2"/>
  <c r="AI26" i="2"/>
  <c r="AY26" i="2"/>
  <c r="H27" i="2"/>
  <c r="X27" i="2"/>
  <c r="AN27" i="2"/>
  <c r="BD27" i="2"/>
  <c r="R28" i="2"/>
  <c r="AM28" i="2"/>
  <c r="BI28" i="2"/>
  <c r="AB29" i="2"/>
  <c r="BD29" i="2"/>
  <c r="AA30" i="2"/>
  <c r="BC30" i="2"/>
  <c r="X31" i="2"/>
  <c r="BH31" i="2"/>
  <c r="AP32" i="2"/>
  <c r="AL33" i="2"/>
  <c r="AB34" i="2"/>
  <c r="AG35" i="2"/>
  <c r="I37" i="2"/>
  <c r="AT20" i="2"/>
  <c r="BJ20" i="2"/>
  <c r="S21" i="2"/>
  <c r="AI21" i="2"/>
  <c r="AY21" i="2"/>
  <c r="H22" i="2"/>
  <c r="X22" i="2"/>
  <c r="AN22" i="2"/>
  <c r="BD22" i="2"/>
  <c r="M23" i="2"/>
  <c r="AC23" i="2"/>
  <c r="AS23" i="2"/>
  <c r="BI23" i="2"/>
  <c r="V24" i="2"/>
  <c r="AL24" i="2"/>
  <c r="BB24" i="2"/>
  <c r="K25" i="2"/>
  <c r="AA25" i="2"/>
  <c r="AQ25" i="2"/>
  <c r="BG25" i="2"/>
  <c r="P26" i="2"/>
  <c r="AF26" i="2"/>
  <c r="AV26" i="2"/>
  <c r="BL26" i="2"/>
  <c r="U27" i="2"/>
  <c r="AK27" i="2"/>
  <c r="BA27" i="2"/>
  <c r="N28" i="2"/>
  <c r="AI28" i="2"/>
  <c r="BE28" i="2"/>
  <c r="W29" i="2"/>
  <c r="AY29" i="2"/>
  <c r="U30" i="2"/>
  <c r="AW30" i="2"/>
  <c r="R31" i="2"/>
  <c r="AZ31" i="2"/>
  <c r="AH32" i="2"/>
  <c r="R33" i="2"/>
  <c r="BJ33" i="2"/>
  <c r="BK34" i="2"/>
  <c r="I36" i="2"/>
  <c r="BD37" i="2"/>
  <c r="AJ21" i="2"/>
  <c r="I22" i="2"/>
  <c r="AO22" i="2"/>
  <c r="R23" i="2"/>
  <c r="AX23" i="2"/>
  <c r="W24" i="2"/>
  <c r="BC24" i="2"/>
  <c r="AB25" i="2"/>
  <c r="BH25" i="2"/>
  <c r="AG26" i="2"/>
  <c r="J27" i="2"/>
  <c r="AP27" i="2"/>
  <c r="U28" i="2"/>
  <c r="AM29" i="2"/>
  <c r="AR31" i="2"/>
  <c r="P21" i="2"/>
  <c r="AF21" i="2"/>
  <c r="AV21" i="2"/>
  <c r="BL21" i="2"/>
  <c r="U22" i="2"/>
  <c r="AK22" i="2"/>
  <c r="BA22" i="2"/>
  <c r="N23" i="2"/>
  <c r="AD23" i="2"/>
  <c r="AT23" i="2"/>
  <c r="BJ23" i="2"/>
  <c r="S24" i="2"/>
  <c r="AI24" i="2"/>
  <c r="AY24" i="2"/>
  <c r="H25" i="2"/>
  <c r="X25" i="2"/>
  <c r="AN25" i="2"/>
  <c r="BD25" i="2"/>
  <c r="M26" i="2"/>
  <c r="AC26" i="2"/>
  <c r="AS26" i="2"/>
  <c r="BI26" i="2"/>
  <c r="V27" i="2"/>
  <c r="AL27" i="2"/>
  <c r="BB27" i="2"/>
  <c r="O28" i="2"/>
  <c r="AK28" i="2"/>
  <c r="BF28" i="2"/>
  <c r="X29" i="2"/>
  <c r="BB29" i="2"/>
  <c r="W30" i="2"/>
  <c r="AY30" i="2"/>
  <c r="AB31" i="2"/>
  <c r="BL31" i="2"/>
  <c r="AW32" i="2"/>
  <c r="AE33" i="2"/>
  <c r="T34" i="2"/>
  <c r="Y35" i="2"/>
  <c r="AJ36" i="2"/>
  <c r="BK37" i="2"/>
  <c r="Z29" i="2"/>
  <c r="AU29" i="2"/>
  <c r="I30" i="2"/>
  <c r="AE30" i="2"/>
  <c r="AZ30" i="2"/>
  <c r="N31" i="2"/>
  <c r="AJ31" i="2"/>
  <c r="N32" i="2"/>
  <c r="AT32" i="2"/>
  <c r="S33" i="2"/>
  <c r="AY33" i="2"/>
  <c r="X34" i="2"/>
  <c r="BD34" i="2"/>
  <c r="AC35" i="2"/>
  <c r="BI35" i="2"/>
  <c r="AP36" i="2"/>
  <c r="Y37" i="2"/>
  <c r="K34" i="2"/>
  <c r="AQ34" i="2"/>
  <c r="P35" i="2"/>
  <c r="AV35" i="2"/>
  <c r="X36" i="2"/>
  <c r="H37" i="2"/>
  <c r="AY37" i="2"/>
  <c r="AX31" i="2"/>
  <c r="G32" i="2"/>
  <c r="W32" i="2"/>
  <c r="AM32" i="2"/>
  <c r="BC32" i="2"/>
  <c r="L33" i="2"/>
  <c r="AB33" i="2"/>
  <c r="AR33" i="2"/>
  <c r="BH33" i="2"/>
  <c r="Q34" i="2"/>
  <c r="AG34" i="2"/>
  <c r="AW34" i="2"/>
  <c r="J35" i="2"/>
  <c r="Z35" i="2"/>
  <c r="AP35" i="2"/>
  <c r="BF35" i="2"/>
  <c r="P36" i="2"/>
  <c r="AL36" i="2"/>
  <c r="BG36" i="2"/>
  <c r="U37" i="2"/>
  <c r="AQ37" i="2"/>
  <c r="BL37" i="2"/>
  <c r="L28" i="2"/>
  <c r="AB28" i="2"/>
  <c r="AR28" i="2"/>
  <c r="BH28" i="2"/>
  <c r="Q29" i="2"/>
  <c r="AG29" i="2"/>
  <c r="AW29" i="2"/>
  <c r="J30" i="2"/>
  <c r="Z30" i="2"/>
  <c r="AP30" i="2"/>
  <c r="BF30" i="2"/>
  <c r="O31" i="2"/>
  <c r="AE31" i="2"/>
  <c r="AU31" i="2"/>
  <c r="BK31" i="2"/>
  <c r="T32" i="2"/>
  <c r="AJ32" i="2"/>
  <c r="AZ32" i="2"/>
  <c r="I33" i="2"/>
  <c r="Y33" i="2"/>
  <c r="AO33" i="2"/>
  <c r="BE33" i="2"/>
  <c r="R34" i="2"/>
  <c r="AH34" i="2"/>
  <c r="AX34" i="2"/>
  <c r="G35" i="2"/>
  <c r="W35" i="2"/>
  <c r="AM35" i="2"/>
  <c r="BC35" i="2"/>
  <c r="L36" i="2"/>
  <c r="AH36" i="2"/>
  <c r="BC36" i="2"/>
  <c r="Q37" i="2"/>
  <c r="AM37" i="2"/>
  <c r="BH37" i="2"/>
  <c r="Y36" i="2"/>
  <c r="AO36" i="2"/>
  <c r="BE36" i="2"/>
  <c r="R37" i="2"/>
  <c r="AH37" i="2"/>
  <c r="AX37" i="2"/>
  <c r="AP28" i="2"/>
  <c r="BK28" i="2"/>
  <c r="AF29" i="2"/>
  <c r="BH29" i="2"/>
  <c r="AC30" i="2"/>
  <c r="BG30" i="2"/>
  <c r="AH31" i="2"/>
  <c r="Q32" i="2"/>
  <c r="BF32" i="2"/>
  <c r="AP33" i="2"/>
  <c r="AJ34" i="2"/>
  <c r="AO35" i="2"/>
  <c r="BF36" i="2"/>
  <c r="J29" i="2"/>
  <c r="AE29" i="2"/>
  <c r="AZ29" i="2"/>
  <c r="O30" i="2"/>
  <c r="AJ30" i="2"/>
  <c r="BE30" i="2"/>
  <c r="T31" i="2"/>
  <c r="AO31" i="2"/>
  <c r="V32" i="2"/>
  <c r="BB32" i="2"/>
  <c r="AA33" i="2"/>
  <c r="BG33" i="2"/>
  <c r="AF34" i="2"/>
  <c r="BL34" i="2"/>
  <c r="AK35" i="2"/>
  <c r="J36" i="2"/>
  <c r="AZ36" i="2"/>
  <c r="AJ37" i="2"/>
  <c r="S34" i="2"/>
  <c r="AY34" i="2"/>
  <c r="X35" i="2"/>
  <c r="BD35" i="2"/>
  <c r="AI36" i="2"/>
  <c r="S37" i="2"/>
  <c r="BI37" i="2"/>
  <c r="BB31" i="2"/>
  <c r="K32" i="2"/>
  <c r="AA32" i="2"/>
  <c r="AQ32" i="2"/>
  <c r="BG32" i="2"/>
  <c r="P33" i="2"/>
  <c r="AF33" i="2"/>
  <c r="AV33" i="2"/>
  <c r="BL33" i="2"/>
  <c r="U34" i="2"/>
  <c r="AK34" i="2"/>
  <c r="BA34" i="2"/>
  <c r="N35" i="2"/>
  <c r="AD35" i="2"/>
  <c r="AT35" i="2"/>
  <c r="BJ35" i="2"/>
  <c r="V36" i="2"/>
  <c r="AQ36" i="2"/>
  <c r="BL36" i="2"/>
  <c r="AA37" i="2"/>
  <c r="AV37" i="2"/>
  <c r="BG27" i="2"/>
  <c r="P28" i="2"/>
  <c r="AF28" i="2"/>
  <c r="AV28" i="2"/>
  <c r="BL28" i="2"/>
  <c r="U29" i="2"/>
  <c r="AK29" i="2"/>
  <c r="BA29" i="2"/>
  <c r="N30" i="2"/>
  <c r="AD30" i="2"/>
  <c r="AT30" i="2"/>
  <c r="BJ30" i="2"/>
  <c r="S31" i="2"/>
  <c r="AI31" i="2"/>
  <c r="AY31" i="2"/>
  <c r="H32" i="2"/>
  <c r="X32" i="2"/>
  <c r="AN32" i="2"/>
  <c r="BD32" i="2"/>
  <c r="M33" i="2"/>
  <c r="AC33" i="2"/>
  <c r="AS33" i="2"/>
  <c r="BI33" i="2"/>
  <c r="V34" i="2"/>
  <c r="AL34" i="2"/>
  <c r="BB34" i="2"/>
  <c r="K35" i="2"/>
  <c r="AA35" i="2"/>
  <c r="AQ35" i="2"/>
  <c r="BG35" i="2"/>
  <c r="R36" i="2"/>
  <c r="AM36" i="2"/>
  <c r="BH36" i="2"/>
  <c r="W37" i="2"/>
  <c r="AR37" i="2"/>
  <c r="M36" i="2"/>
  <c r="AC36" i="2"/>
  <c r="AS36" i="2"/>
  <c r="BI36" i="2"/>
  <c r="V37" i="2"/>
  <c r="AL37" i="2"/>
  <c r="BB37" i="2"/>
  <c r="Z32" i="2"/>
  <c r="J33" i="2"/>
  <c r="BB33" i="2"/>
  <c r="AZ34" i="2"/>
  <c r="BE35" i="2"/>
  <c r="T37" i="2"/>
  <c r="O29" i="2"/>
  <c r="AJ29" i="2"/>
  <c r="BF29" i="2"/>
  <c r="T30" i="2"/>
  <c r="AO30" i="2"/>
  <c r="BK30" i="2"/>
  <c r="Y31" i="2"/>
  <c r="AW31" i="2"/>
  <c r="AD32" i="2"/>
  <c r="BJ32" i="2"/>
  <c r="AI33" i="2"/>
  <c r="H34" i="2"/>
  <c r="AN34" i="2"/>
  <c r="M35" i="2"/>
  <c r="AS35" i="2"/>
  <c r="T36" i="2"/>
  <c r="BK36" i="2"/>
  <c r="AU37" i="2"/>
  <c r="AA34" i="2"/>
  <c r="BG34" i="2"/>
  <c r="AF35" i="2"/>
  <c r="BL35" i="2"/>
  <c r="AT36" i="2"/>
  <c r="AC37" i="2"/>
  <c r="AP31" i="2"/>
  <c r="BF31" i="2"/>
  <c r="O32" i="2"/>
  <c r="AE32" i="2"/>
  <c r="AU32" i="2"/>
  <c r="BK32" i="2"/>
  <c r="T33" i="2"/>
  <c r="AJ33" i="2"/>
  <c r="AZ33" i="2"/>
  <c r="I34" i="2"/>
  <c r="Y34" i="2"/>
  <c r="AO34" i="2"/>
  <c r="BE34" i="2"/>
  <c r="R35" i="2"/>
  <c r="AH35" i="2"/>
  <c r="AX35" i="2"/>
  <c r="G36" i="2"/>
  <c r="AA36" i="2"/>
  <c r="AV36" i="2"/>
  <c r="K37" i="2"/>
  <c r="AF37" i="2"/>
  <c r="BA37" i="2"/>
  <c r="BK27" i="2"/>
  <c r="T28" i="2"/>
  <c r="AJ28" i="2"/>
  <c r="AZ28" i="2"/>
  <c r="I29" i="2"/>
  <c r="Y29" i="2"/>
  <c r="AO29" i="2"/>
  <c r="BE29" i="2"/>
  <c r="R30" i="2"/>
  <c r="AH30" i="2"/>
  <c r="AX30" i="2"/>
  <c r="G31" i="2"/>
  <c r="W31" i="2"/>
  <c r="AM31" i="2"/>
  <c r="BC31" i="2"/>
  <c r="L32" i="2"/>
  <c r="AB32" i="2"/>
  <c r="AR32" i="2"/>
  <c r="BH32" i="2"/>
  <c r="Q33" i="2"/>
  <c r="AG33" i="2"/>
  <c r="AW33" i="2"/>
  <c r="J34" i="2"/>
  <c r="Z34" i="2"/>
  <c r="AP34" i="2"/>
  <c r="BF34" i="2"/>
  <c r="O35" i="2"/>
  <c r="AE35" i="2"/>
  <c r="AU35" i="2"/>
  <c r="BK35" i="2"/>
  <c r="W36" i="2"/>
  <c r="AR36" i="2"/>
  <c r="G37" i="2"/>
  <c r="AB37" i="2"/>
  <c r="AW37" i="2"/>
  <c r="Q36" i="2"/>
  <c r="AG36" i="2"/>
  <c r="AW36" i="2"/>
  <c r="J37" i="2"/>
  <c r="Z37" i="2"/>
  <c r="AP37" i="2"/>
  <c r="BF37" i="2"/>
  <c r="M37" i="2"/>
  <c r="L21" i="2"/>
  <c r="AB21" i="2"/>
  <c r="AR21" i="2"/>
  <c r="BH21" i="2"/>
  <c r="Q22" i="2"/>
  <c r="AG22" i="2"/>
  <c r="AW22" i="2"/>
  <c r="J23" i="2"/>
  <c r="Z23" i="2"/>
  <c r="AP23" i="2"/>
  <c r="BF23" i="2"/>
  <c r="O24" i="2"/>
  <c r="AE24" i="2"/>
  <c r="AU24" i="2"/>
  <c r="BK24" i="2"/>
  <c r="T25" i="2"/>
  <c r="AJ25" i="2"/>
  <c r="AZ25" i="2"/>
  <c r="I26" i="2"/>
  <c r="Y26" i="2"/>
  <c r="AO26" i="2"/>
  <c r="BE26" i="2"/>
  <c r="R27" i="2"/>
  <c r="AH27" i="2"/>
  <c r="AX27" i="2"/>
  <c r="J28" i="2"/>
  <c r="AE28" i="2"/>
  <c r="BA28" i="2"/>
  <c r="R29" i="2"/>
  <c r="AT29" i="2"/>
  <c r="P30" i="2"/>
  <c r="AR30" i="2"/>
  <c r="U31" i="2"/>
  <c r="BA31" i="2"/>
  <c r="AK32" i="2"/>
  <c r="V33" i="2"/>
  <c r="BK33" i="2"/>
  <c r="I35" i="2"/>
  <c r="O36" i="2"/>
  <c r="AO37" i="2"/>
  <c r="T29" i="2"/>
  <c r="AP29" i="2"/>
  <c r="BK29" i="2"/>
  <c r="Y30" i="2"/>
  <c r="AU30" i="2"/>
  <c r="I31" i="2"/>
  <c r="AD31" i="2"/>
  <c r="BE31" i="2"/>
  <c r="AL32" i="2"/>
  <c r="K33" i="2"/>
  <c r="AQ33" i="2"/>
  <c r="P34" i="2"/>
  <c r="AV34" i="2"/>
  <c r="U35" i="2"/>
  <c r="BA35" i="2"/>
  <c r="AE36" i="2"/>
  <c r="O37" i="2"/>
  <c r="BE37" i="2"/>
  <c r="AI34" i="2"/>
  <c r="H35" i="2"/>
  <c r="AN35" i="2"/>
  <c r="N36" i="2"/>
  <c r="BD36" i="2"/>
  <c r="AN37" i="2"/>
  <c r="AT31" i="2"/>
  <c r="BJ31" i="2"/>
  <c r="S32" i="2"/>
  <c r="AI32" i="2"/>
  <c r="AY32" i="2"/>
  <c r="H33" i="2"/>
  <c r="X33" i="2"/>
  <c r="AN33" i="2"/>
  <c r="BD33" i="2"/>
  <c r="M34" i="2"/>
  <c r="AC34" i="2"/>
  <c r="AS34" i="2"/>
  <c r="BI34" i="2"/>
  <c r="V35" i="2"/>
  <c r="AL35" i="2"/>
  <c r="BB35" i="2"/>
  <c r="K36" i="2"/>
  <c r="AF36" i="2"/>
  <c r="BB36" i="2"/>
  <c r="P37" i="2"/>
  <c r="AK37" i="2"/>
  <c r="BG37" i="2"/>
  <c r="H28" i="2"/>
  <c r="X28" i="2"/>
  <c r="AN28" i="2"/>
  <c r="BD28" i="2"/>
  <c r="M29" i="2"/>
  <c r="AC29" i="2"/>
  <c r="AS29" i="2"/>
  <c r="BI29" i="2"/>
  <c r="V30" i="2"/>
  <c r="AL30" i="2"/>
  <c r="BB30" i="2"/>
  <c r="K31" i="2"/>
  <c r="AA31" i="2"/>
  <c r="AQ31" i="2"/>
  <c r="BG31" i="2"/>
  <c r="P32" i="2"/>
  <c r="AF32" i="2"/>
  <c r="AV32" i="2"/>
  <c r="BL32" i="2"/>
  <c r="U33" i="2"/>
  <c r="AK33" i="2"/>
  <c r="BA33" i="2"/>
  <c r="N34" i="2"/>
  <c r="AD34" i="2"/>
  <c r="AT34" i="2"/>
  <c r="BJ34" i="2"/>
  <c r="S35" i="2"/>
  <c r="AI35" i="2"/>
  <c r="AY35" i="2"/>
  <c r="H36" i="2"/>
  <c r="AB36" i="2"/>
  <c r="AX36" i="2"/>
  <c r="L37" i="2"/>
  <c r="AG37" i="2"/>
  <c r="BC37" i="2"/>
  <c r="U36" i="2"/>
  <c r="AK36" i="2"/>
  <c r="BA36" i="2"/>
  <c r="N37" i="2"/>
  <c r="AD37" i="2"/>
  <c r="AT37" i="2"/>
  <c r="BJ37" i="2"/>
</calcChain>
</file>

<file path=xl/sharedStrings.xml><?xml version="1.0" encoding="utf-8"?>
<sst xmlns="http://schemas.openxmlformats.org/spreadsheetml/2006/main" count="29" uniqueCount="28">
  <si>
    <t>**IMPORTANT NOTE**</t>
  </si>
  <si>
    <t>This document, the information contained herein and any derived information created therefrom are for the exclusive use of ANIRUDH BHARDWAJ at COLUMBIA UNIVERSITY.</t>
  </si>
  <si>
    <t>~~~~~~~~~~~~~~~~~~~~~~~~~~~~~~~~~~~~~~~~~~~~~~~~~~~~~~~~~~~~~~~~~~~~~~~~~~~~~~~~~~~~~~~~~~~~~~~~~~~~~~~~~~~~~~~~~~~~~~~~~~~~~~~~~~~~~~~~~~~~~~~~~~~~~~~~~~~~~~~~</t>
  </si>
  <si>
    <t>**REFERENCE**</t>
  </si>
  <si>
    <t xml:space="preserve">     Spreadsheets generated from the BI Excel export can be used as reference tables to fuel various models and other sheets on your desktop.</t>
  </si>
  <si>
    <t xml:space="preserve">     Automated model building or 'drag and drop' from the BI export sheet are not supported at this time, but using the BI export</t>
  </si>
  <si>
    <t xml:space="preserve">     as a reference table for use in other spreadsheets is a powerful and convenient tool to help achieve your goals.</t>
  </si>
  <si>
    <t xml:space="preserve">   --The BI Excel export sheet typically contains two data tabs (certain BI modules like those in the 'Monitor' section on BI will only result in a single 'Sheet 1' data tab):</t>
  </si>
  <si>
    <t xml:space="preserve">     1) 'BIData':  This is the fully curated grid that is meant to be a clean, simple, synchronized match to what is seen on the BI dashboard. </t>
  </si>
  <si>
    <t xml:space="preserve">          The grid on the 'BIData' tab can be used as a reference table for use in your models and other downstream spreadsheets.</t>
  </si>
  <si>
    <t xml:space="preserve">     2) 'ReferenceData':  This is the tab where all the raw data is housed and data preparation is done.  There are typically 2 separate grids here:</t>
  </si>
  <si>
    <t xml:space="preserve">          a top curated grid that includes error handling, expressions, etc., and a bottom raw grid that includes any/all live API information for this export. </t>
  </si>
  <si>
    <t xml:space="preserve">          The bottom grid on the ReferenceData tab is where actual API (BDP/BDH) expressions are constructed, so refer to this section if you</t>
  </si>
  <si>
    <t xml:space="preserve">          are interested in seeing/using the underlying API details.</t>
  </si>
  <si>
    <t xml:space="preserve">          Note: In some cases the bottom grid will not exist (in the event that none of the data selected is coming from live API links).</t>
  </si>
  <si>
    <t xml:space="preserve">   --In any grid on either tab, there are common columns:</t>
  </si>
  <si>
    <t xml:space="preserve">     1) Description:  The row label that matches the row label you'd find on BI</t>
  </si>
  <si>
    <t xml:space="preserve">     2) Ticker:  The company/index ticker corresponding to that row (this is the ticker used in the </t>
  </si>
  <si>
    <t xml:space="preserve">          BDP/BDH formula for that row, if applicable)</t>
  </si>
  <si>
    <t xml:space="preserve">     3) Field ID:  The calcrout ID used to structure the BDP/BDH formula for that row (where applicable).</t>
  </si>
  <si>
    <t xml:space="preserve">     4) Field Mnemonic:  The calcrout mnemonic corresponding to the field ID used to structure the BDP/BDH formula for that row (where applicable).</t>
  </si>
  <si>
    <t xml:space="preserve">     5) Data State:  The state of the data within that particular row, including 'Dynamic', 'Static', 'Sum', 'Average', 'Median' or 'Heading'.  If 'Dynamic'</t>
  </si>
  <si>
    <t xml:space="preserve">          then new data will be expected to come to the sheet when it becomes available in the database with no need for another export.</t>
  </si>
  <si>
    <t xml:space="preserve">          If 'Static' then there are no live links in this row and new data will only be procured by running and exporting from BI again.</t>
  </si>
  <si>
    <t xml:space="preserve">          If it's 'Sum', 'Average', 'Median' or 'Expression', then new data may come to the sheet for some expression components, but</t>
  </si>
  <si>
    <t xml:space="preserve">          to ensure the latest data is present in the sheet, BI should be run and exported again.</t>
  </si>
  <si>
    <t>**HELP**</t>
  </si>
  <si>
    <t xml:space="preserve">     If you experience any issues with the BI Excel export process or results, run the BI&lt;GO&gt; function on your Bloomberg terminal, and then hit the &lt;HELP&gt; key twice.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</si>
</sst>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2">
    <xf numFmtId="0" fontId="0" fillId="0" borderId="0" xfId="0"/>
    <xf numFmtId="0" fontId="1" fillId="33" borderId="0" xfId="26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Connection</v>
        <stp/>
        <stp>##V3_BDHV12</stp>
        <stp>F US Equity</stp>
        <stp>BI047</stp>
        <stp>-59CQ</stp>
        <stp>2/28/2019</stp>
        <stp>[BI_AUTMG_1.xlsx]ReferenceData!R64C6</stp>
        <stp>Per=CQ</stp>
        <stp>Dts=H</stp>
        <stp>Dir=H</stp>
        <stp>Points=59</stp>
        <stp>Sort=R</stp>
        <stp>Days=A</stp>
        <stp>Fill=B</stp>
        <stp>DZ666=001</stp>
        <stp>X0001=NAUS</stp>
        <stp>DZ667=1</stp>
        <stp>DS276=Y</stp>
        <stp>FX=USD</stp>
        <tr r="F64" s="3"/>
      </tp>
      <tp t="s">
        <v>#N/A Connection</v>
        <stp/>
        <stp>##V3_BDHV12</stp>
        <stp>7269 JP Equity</stp>
        <stp>IS010</stp>
        <stp>-59CQ</stp>
        <stp>2/28/2019</stp>
        <stp>[BI_AUTMG_1.xlsx]ReferenceData!R77C6</stp>
        <stp>Per=CQ</stp>
        <stp>Dts=H</stp>
        <stp>Dir=H</stp>
        <stp>Points=59</stp>
        <stp>Sort=R</stp>
        <stp>Days=A</stp>
        <stp>Fill=B</stp>
        <stp>FX=USD</stp>
        <tr r="F77" s="3"/>
      </tp>
      <tp t="s">
        <v>#N/A Connection</v>
        <stp/>
        <stp>##V3_BDHV12</stp>
        <stp>7267 JP Equity</stp>
        <stp>IS010</stp>
        <stp>-59CQ</stp>
        <stp>2/28/2019</stp>
        <stp>[BI_AUTMG_1.xlsx]ReferenceData!R65C6</stp>
        <stp>Per=CQ</stp>
        <stp>Dts=H</stp>
        <stp>Dir=H</stp>
        <stp>Points=59</stp>
        <stp>Sort=R</stp>
        <stp>Days=A</stp>
        <stp>Fill=B</stp>
        <stp>FX=USD</stp>
        <tr r="F65" s="3"/>
      </tp>
      <tp t="s">
        <v>#N/A Connection</v>
        <stp/>
        <stp>##V3_BDHV12</stp>
        <stp>7270 JP Equity</stp>
        <stp>IS010</stp>
        <stp>-59CQ</stp>
        <stp>2/28/2019</stp>
        <stp>[BI_AUTMG_1.xlsx]ReferenceData!R81C6</stp>
        <stp>Per=CQ</stp>
        <stp>Dts=H</stp>
        <stp>Dir=H</stp>
        <stp>Points=59</stp>
        <stp>Sort=R</stp>
        <stp>Days=A</stp>
        <stp>Fill=B</stp>
        <stp>FX=USD</stp>
        <tr r="F81" s="3"/>
      </tp>
      <tp t="s">
        <v>#N/A Connection</v>
        <stp/>
        <stp>##V3_BDHV12</stp>
        <stp>7201 JP Equity</stp>
        <stp>IS010</stp>
        <stp>-59CQ</stp>
        <stp>2/28/2019</stp>
        <stp>[BI_AUTMG_1.xlsx]ReferenceData!R67C6</stp>
        <stp>Per=CQ</stp>
        <stp>Dts=H</stp>
        <stp>Dir=H</stp>
        <stp>Points=59</stp>
        <stp>Sort=R</stp>
        <stp>Days=A</stp>
        <stp>Fill=B</stp>
        <stp>FX=USD</stp>
        <tr r="F67" s="3"/>
      </tp>
      <tp t="s">
        <v>#N/A Connection</v>
        <stp/>
        <stp>##V3_BDHV12</stp>
        <stp>7261 JP Equity</stp>
        <stp>IS010</stp>
        <stp>-59CQ</stp>
        <stp>2/28/2019</stp>
        <stp>[BI_AUTMG_1.xlsx]ReferenceData!R79C6</stp>
        <stp>Per=CQ</stp>
        <stp>Dts=H</stp>
        <stp>Dir=H</stp>
        <stp>Points=59</stp>
        <stp>Sort=R</stp>
        <stp>Days=A</stp>
        <stp>Fill=B</stp>
        <stp>FX=USD</stp>
        <tr r="F79" s="3"/>
      </tp>
      <tp t="s">
        <v>#N/A Connection</v>
        <stp/>
        <stp>##V3_BDHV12</stp>
        <stp>7211 JP Equity</stp>
        <stp>IS010</stp>
        <stp>-59CQ</stp>
        <stp>2/28/2019</stp>
        <stp>[BI_AUTMG_1.xlsx]ReferenceData!R83C6</stp>
        <stp>Per=CQ</stp>
        <stp>Dts=H</stp>
        <stp>Dir=H</stp>
        <stp>Points=59</stp>
        <stp>Sort=R</stp>
        <stp>Days=A</stp>
        <stp>Fill=B</stp>
        <stp>FX=USD</stp>
        <tr r="F83" s="3"/>
      </tp>
      <tp t="s">
        <v>#N/A Connection</v>
        <stp/>
        <stp>##V3_BDHV12</stp>
        <stp>7202 JP Equity</stp>
        <stp>IS010</stp>
        <stp>-59CQ</stp>
        <stp>2/28/2019</stp>
        <stp>[BI_AUTMG_1.xlsx]ReferenceData!R85C6</stp>
        <stp>Per=CQ</stp>
        <stp>Dts=H</stp>
        <stp>Dir=H</stp>
        <stp>Points=59</stp>
        <stp>Sort=R</stp>
        <stp>Days=A</stp>
        <stp>Fill=B</stp>
        <stp>FX=USD</stp>
        <tr r="F85" s="3"/>
      </tp>
      <tp t="s">
        <v>#N/A Connection</v>
        <stp/>
        <stp>##V3_BDHV12</stp>
        <stp>VOW GR Equity</stp>
        <stp>IS010</stp>
        <stp>-59CQ</stp>
        <stp>2/28/2019</stp>
        <stp>[BI_AUTMG_1.xlsx]ReferenceData!R113C3</stp>
        <stp>PER=CQ</stp>
        <stp>Dts=S</stp>
        <stp>DtFmt=FI</stp>
        <stp>rows=2</stp>
        <stp>Dir=H</stp>
        <stp>Points=59</stp>
        <stp>Sort=R</stp>
        <stp>Days=A</stp>
        <stp>Fill=B</stp>
        <stp>FX=USD</stp>
        <tr r="C113" s="3"/>
      </tp>
      <tp t="s">
        <v>#N/A Connection</v>
        <stp/>
        <stp>##V3_BDHV12</stp>
        <stp>VOW GR Equity</stp>
        <stp>IS010</stp>
        <stp>-59CQ</stp>
        <stp>2/28/2019</stp>
        <stp>[BI_AUTMG_1.xlsx]ReferenceData!R105C3</stp>
        <stp>PER=CQ</stp>
        <stp>Dts=S</stp>
        <stp>DtFmt=FI</stp>
        <stp>rows=2</stp>
        <stp>Dir=H</stp>
        <stp>Points=59</stp>
        <stp>Sort=R</stp>
        <stp>Days=A</stp>
        <stp>Fill=B</stp>
        <stp>FX=USD</stp>
        <tr r="C105" s="3"/>
      </tp>
      <tp t="s">
        <v>#N/A Connection</v>
        <stp/>
        <stp>##V3_BDHV12</stp>
        <stp>7203 JP Equity</stp>
        <stp>IS010</stp>
        <stp>-59CQ</stp>
        <stp>2/28/2019</stp>
        <stp>[BI_AUTMG_1.xlsx]ReferenceData!R55C6</stp>
        <stp>Per=CQ</stp>
        <stp>Dts=H</stp>
        <stp>Dir=H</stp>
        <stp>Points=59</stp>
        <stp>Sort=R</stp>
        <stp>Days=A</stp>
        <stp>Fill=B</stp>
        <stp>FX=USD</stp>
        <tr r="F55" s="3"/>
      </tp>
      <tp t="s">
        <v>#N/A Connection</v>
        <stp/>
        <stp>##V3_BDHV12</stp>
        <stp>FCAU US Equity</stp>
        <stp>BI047</stp>
        <stp>-59CQ</stp>
        <stp>2/28/2019</stp>
        <stp>[BI_AUTMG_1.xlsx]ReferenceData!R70C6</stp>
        <stp>Per=CQ</stp>
        <stp>Dts=H</stp>
        <stp>Dir=H</stp>
        <stp>Points=59</stp>
        <stp>Sort=R</stp>
        <stp>Days=A</stp>
        <stp>Fill=B</stp>
        <stp>DZ666=001</stp>
        <stp>DZ381=11111010</stp>
        <stp>DZ667=7</stp>
        <stp>DS276=Y</stp>
        <stp>FX=USD</stp>
        <tr r="F70" s="3"/>
      </tp>
    </main>
    <main first="bloomberg.rtd">
      <tp t="s">
        <v>#N/A Connection</v>
        <stp/>
        <stp>##V3_BDHV12</stp>
        <stp>7203 JP Equity</stp>
        <stp>BI047</stp>
        <stp>-59CQ</stp>
        <stp>2/28/2019</stp>
        <stp>[BI_AUTMG_1.xlsx]ReferenceData!R56C6</stp>
        <stp>Per=CQ</stp>
        <stp>Dts=H</stp>
        <stp>Dir=H</stp>
        <stp>Points=59</stp>
        <stp>Sort=R</stp>
        <stp>Days=A</stp>
        <stp>Fill=B</stp>
        <stp>DZ666=001</stp>
        <stp>X0001=NA00</stp>
        <stp>DZ667=1</stp>
        <stp>DS276=Y</stp>
        <stp>FX=USD</stp>
        <tr r="F56" s="3"/>
      </tp>
      <tp t="s">
        <v>#N/A Connection</v>
        <stp/>
        <stp>##V3_BDHV12</stp>
        <stp>7201 JP Equity</stp>
        <stp>BI047</stp>
        <stp>-59CQ</stp>
        <stp>2/28/2019</stp>
        <stp>[BI_AUTMG_1.xlsx]ReferenceData!R68C6</stp>
        <stp>Per=CQ</stp>
        <stp>Dts=H</stp>
        <stp>Dir=H</stp>
        <stp>Points=59</stp>
        <stp>Sort=R</stp>
        <stp>Days=A</stp>
        <stp>Fill=B</stp>
        <stp>DZ666=001</stp>
        <stp>X0001=NA00</stp>
        <stp>DZ667=1</stp>
        <stp>DS276=Y</stp>
        <stp>FX=USD</stp>
        <tr r="F68" s="3"/>
      </tp>
      <tp t="s">
        <v>#N/A Connection</v>
        <stp/>
        <stp>##V3_BDHV12</stp>
        <stp>7267 JP Equity</stp>
        <stp>BI047</stp>
        <stp>-59CQ</stp>
        <stp>2/28/2019</stp>
        <stp>[BI_AUTMG_1.xlsx]ReferenceData!R66C6</stp>
        <stp>Per=CQ</stp>
        <stp>Dts=H</stp>
        <stp>Dir=H</stp>
        <stp>Points=59</stp>
        <stp>Sort=R</stp>
        <stp>Days=A</stp>
        <stp>Fill=B</stp>
        <stp>DZ666=001</stp>
        <stp>X0001=NA00</stp>
        <stp>DZ667=1</stp>
        <stp>DS276=Y</stp>
        <stp>FX=USD</stp>
        <tr r="F66" s="3"/>
      </tp>
      <tp t="s">
        <v>#N/A Connection</v>
        <stp/>
        <stp>##V3_BDHV12</stp>
        <stp>7269 JP Equity</stp>
        <stp>BI047</stp>
        <stp>-59CQ</stp>
        <stp>2/28/2019</stp>
        <stp>[BI_AUTMG_1.xlsx]ReferenceData!R78C6</stp>
        <stp>Per=CQ</stp>
        <stp>Dts=H</stp>
        <stp>Dir=H</stp>
        <stp>Points=59</stp>
        <stp>Sort=R</stp>
        <stp>Days=A</stp>
        <stp>Fill=B</stp>
        <stp>DZ666=001</stp>
        <stp>X0001=NA00</stp>
        <stp>DZ667=1</stp>
        <stp>DS276=Y</stp>
        <stp>FX=USD</stp>
        <tr r="F78" s="3"/>
      </tp>
      <tp t="s">
        <v>#N/A Connection</v>
        <stp/>
        <stp>##V3_BDHV12</stp>
        <stp>7270 JP Equity</stp>
        <stp>BI047</stp>
        <stp>-59CQ</stp>
        <stp>2/28/2019</stp>
        <stp>[BI_AUTMG_1.xlsx]ReferenceData!R82C6</stp>
        <stp>Per=CQ</stp>
        <stp>Dts=H</stp>
        <stp>Dir=H</stp>
        <stp>Points=59</stp>
        <stp>Sort=R</stp>
        <stp>Days=A</stp>
        <stp>Fill=B</stp>
        <stp>DZ666=001</stp>
        <stp>X0001=NA00</stp>
        <stp>DZ667=1</stp>
        <stp>DS276=Y</stp>
        <stp>FX=USD</stp>
        <tr r="F82" s="3"/>
      </tp>
      <tp t="s">
        <v>#N/A Connection</v>
        <stp/>
        <stp>##V3_BDHV12</stp>
        <stp>7211 JP Equity</stp>
        <stp>BI047</stp>
        <stp>-59CQ</stp>
        <stp>2/28/2019</stp>
        <stp>[BI_AUTMG_1.xlsx]ReferenceData!R84C6</stp>
        <stp>Per=CQ</stp>
        <stp>Dts=H</stp>
        <stp>Dir=H</stp>
        <stp>Points=59</stp>
        <stp>Sort=R</stp>
        <stp>Days=A</stp>
        <stp>Fill=B</stp>
        <stp>DZ666=001</stp>
        <stp>X0001=NA00</stp>
        <stp>DZ667=1</stp>
        <stp>DS276=Y</stp>
        <stp>FX=USD</stp>
        <tr r="F84" s="3"/>
      </tp>
      <tp t="s">
        <v>#N/A Connection</v>
        <stp/>
        <stp>##V3_BDHV12</stp>
        <stp>7261 JP Equity</stp>
        <stp>BI047</stp>
        <stp>-59CQ</stp>
        <stp>2/28/2019</stp>
        <stp>[BI_AUTMG_1.xlsx]ReferenceData!R80C6</stp>
        <stp>Per=CQ</stp>
        <stp>Dts=H</stp>
        <stp>Dir=H</stp>
        <stp>Points=59</stp>
        <stp>Sort=R</stp>
        <stp>Days=A</stp>
        <stp>Fill=B</stp>
        <stp>DZ666=001</stp>
        <stp>X0001=NA00</stp>
        <stp>DZ667=1</stp>
        <stp>DS276=Y</stp>
        <stp>FX=USD</stp>
        <tr r="F80" s="3"/>
      </tp>
      <tp t="s">
        <v>#N/A Connection</v>
        <stp/>
        <stp>##V3_BDHV12</stp>
        <stp>7202 JP Equity</stp>
        <stp>BI047</stp>
        <stp>-59CQ</stp>
        <stp>2/28/2019</stp>
        <stp>[BI_AUTMG_1.xlsx]ReferenceData!R86C6</stp>
        <stp>Per=CQ</stp>
        <stp>Dts=H</stp>
        <stp>Dir=H</stp>
        <stp>Points=59</stp>
        <stp>Sort=R</stp>
        <stp>Days=A</stp>
        <stp>Fill=B</stp>
        <stp>DZ666=001</stp>
        <stp>X0001=NAUS</stp>
        <stp>DZ667=1</stp>
        <stp>DS276=Y</stp>
        <stp>FX=USD</stp>
        <tr r="F86" s="3"/>
      </tp>
      <tp t="s">
        <v>#N/A Connection</v>
        <stp/>
        <stp>##V3_BDHV12</stp>
        <stp>GM US Equity</stp>
        <stp>IS010</stp>
        <stp>-59CQ</stp>
        <stp>2/28/2019</stp>
        <stp>[BI_AUTMG_1.xlsx]ReferenceData!R59C6</stp>
        <stp>Per=CQ</stp>
        <stp>Dts=H</stp>
        <stp>Dir=H</stp>
        <stp>Points=59</stp>
        <stp>Sort=R</stp>
        <stp>Days=A</stp>
        <stp>Fill=B</stp>
        <stp>FX=USD</stp>
        <tr r="F59" s="3"/>
      </tp>
    </main>
    <main first="bloomberg.ccyreader">
      <tp>
        <v>0</v>
        <stp/>
        <stp>#track</stp>
        <stp>DBG</stp>
        <stp>BIHITX</stp>
        <stp>1.0</stp>
        <stp>RepeatHit</stp>
        <tr r="A47" s="3"/>
      </tp>
    </main>
    <main first="bloomberg.rtd">
      <tp t="s">
        <v>#N/A Connection</v>
        <stp/>
        <stp>##V3_BDHV12</stp>
        <stp>F IM Equity</stp>
        <stp>IS010</stp>
        <stp>-59CQ</stp>
        <stp>2/28/2019</stp>
        <stp>[BI_AUTMG_1.xlsx]ReferenceData!R71C6</stp>
        <stp>Per=CQ</stp>
        <stp>Dts=H</stp>
        <stp>Dir=H</stp>
        <stp>Points=59</stp>
        <stp>Sort=R</stp>
        <stp>Days=A</stp>
        <stp>Fill=B</stp>
        <stp>FX=USD</stp>
        <tr r="F71" s="3"/>
      </tp>
      <tp t="s">
        <v>#N/A Connection</v>
        <stp/>
        <stp>##V3_BDHV12</stp>
        <stp>F US Equity</stp>
        <stp>IS010</stp>
        <stp>-59CQ</stp>
        <stp>2/28/2019</stp>
        <stp>[BI_AUTMG_1.xlsx]ReferenceData!R63C6</stp>
        <stp>Per=CQ</stp>
        <stp>Dts=H</stp>
        <stp>Dir=H</stp>
        <stp>Points=59</stp>
        <stp>Sort=R</stp>
        <stp>Days=A</stp>
        <stp>Fill=B</stp>
        <stp>FX=USD</stp>
        <tr r="F63" s="3"/>
      </tp>
      <tp t="s">
        <v>#N/A Connection</v>
        <stp/>
        <stp>##V3_BDHV12</stp>
        <stp>TSLA US Equity</stp>
        <stp>BI047</stp>
        <stp>-59CQ</stp>
        <stp>2/28/2019</stp>
        <stp>[BI_AUTMG_1.xlsx]ReferenceData!R88C6</stp>
        <stp>Per=CQ</stp>
        <stp>Dts=H</stp>
        <stp>Dir=H</stp>
        <stp>Points=59</stp>
        <stp>Sort=R</stp>
        <stp>Days=A</stp>
        <stp>Fill=B</stp>
        <stp>DZ666=001</stp>
        <stp>X0001=NA00</stp>
        <stp>DZ667=1</stp>
        <stp>DS276=Y</stp>
        <stp>FX=USD</stp>
        <tr r="F88" s="3"/>
      </tp>
      <tp t="s">
        <v>#N/A Connection</v>
        <stp/>
        <stp>##V3_BDHV12</stp>
        <stp>005380 KS Equity</stp>
        <stp>IS010</stp>
        <stp>-59CQ</stp>
        <stp>2/28/2019</stp>
        <stp>[BI_AUTMG_1.xlsx]ReferenceData!R73C6</stp>
        <stp>Per=CQ</stp>
        <stp>Dts=H</stp>
        <stp>Dir=H</stp>
        <stp>Points=59</stp>
        <stp>Sort=R</stp>
        <stp>Days=A</stp>
        <stp>Fill=B</stp>
        <stp>DS276=Y</stp>
        <stp>FX=USD</stp>
        <tr r="F73" s="3"/>
      </tp>
      <tp t="s">
        <v>#N/A Connection</v>
        <stp/>
        <stp>##V3_BDHV12</stp>
        <stp>000270 KS Equity</stp>
        <stp>IS010</stp>
        <stp>-59CQ</stp>
        <stp>2/28/2019</stp>
        <stp>[BI_AUTMG_1.xlsx]ReferenceData!R74C6</stp>
        <stp>Per=CQ</stp>
        <stp>Dts=H</stp>
        <stp>Dir=H</stp>
        <stp>Points=59</stp>
        <stp>Sort=R</stp>
        <stp>Days=A</stp>
        <stp>Fill=B</stp>
        <stp>DS276=Y</stp>
        <stp>FX=USD</stp>
        <tr r="F74" s="3"/>
      </tp>
      <tp t="s">
        <v>#N/A Connection</v>
        <stp/>
        <stp>##V3_BDHV12</stp>
        <stp>VOW GR Equity</stp>
        <stp>BI047</stp>
        <stp>-59CQ</stp>
        <stp>2/28/2019</stp>
        <stp>[BI_AUTMG_1.xlsx]ReferenceData!R58C6</stp>
        <stp>Per=CQ</stp>
        <stp>Dts=H</stp>
        <stp>Dir=H</stp>
        <stp>Points=59</stp>
        <stp>Sort=R</stp>
        <stp>Days=A</stp>
        <stp>Fill=B</stp>
        <stp>DZ666=001</stp>
        <stp>X0001=NA00</stp>
        <stp>DZ667=1</stp>
        <stp>DS276=Y</stp>
        <stp>FX=USD</stp>
        <tr r="F58" s="3"/>
      </tp>
      <tp t="s">
        <v>#N/A Connection</v>
        <stp/>
        <stp>##V3_BDHV12</stp>
        <stp>DAI GR Equity</stp>
        <stp>BI047</stp>
        <stp>-59CQ</stp>
        <stp>2/28/2019</stp>
        <stp>[BI_AUTMG_1.xlsx]ReferenceData!R62C6</stp>
        <stp>Per=CQ</stp>
        <stp>Dts=H</stp>
        <stp>Dir=H</stp>
        <stp>Points=59</stp>
        <stp>Sort=R</stp>
        <stp>Days=A</stp>
        <stp>Fill=B</stp>
        <stp>DZ666=001</stp>
        <stp>X0001=NAUS</stp>
        <stp>DZ667=1</stp>
        <stp>DS276=Y</stp>
        <stp>FX=USD</stp>
        <tr r="F62" s="3"/>
      </tp>
      <tp t="s">
        <v>#N/A Connection</v>
        <stp/>
        <stp>##V3_BDHV12</stp>
        <stp>GM US Equity</stp>
        <stp>BI047</stp>
        <stp>-59CQ</stp>
        <stp>2/28/2019</stp>
        <stp>[BI_AUTMG_1.xlsx]ReferenceData!R60C6</stp>
        <stp>Per=CQ</stp>
        <stp>Dts=H</stp>
        <stp>Dir=H</stp>
        <stp>Points=59</stp>
        <stp>Sort=R</stp>
        <stp>Days=A</stp>
        <stp>Fill=B</stp>
        <stp>DZ666=001</stp>
        <stp>X0001=NA00</stp>
        <stp>DZ667=1</stp>
        <stp>DS276=Y</stp>
        <stp>FX=USD</stp>
        <tr r="F60" s="3"/>
      </tp>
      <tp t="s">
        <v>#N/A Connection</v>
        <stp/>
        <stp>##V3_BDHV12</stp>
        <stp>TTMT IN Equity</stp>
        <stp>IS010</stp>
        <stp>-59CQ</stp>
        <stp>2/28/2019</stp>
        <stp>[BI_AUTMG_1.xlsx]ReferenceData!R76C6</stp>
        <stp>Per=CQ</stp>
        <stp>Dts=H</stp>
        <stp>Dir=H</stp>
        <stp>Points=59</stp>
        <stp>Sort=R</stp>
        <stp>Days=A</stp>
        <stp>Fill=B</stp>
        <stp>FX=USD</stp>
        <tr r="F76" s="3"/>
      </tp>
      <tp t="s">
        <v>#N/A Connection</v>
        <stp/>
        <stp>##V3_BDHV12</stp>
        <stp>FCAU US Equity</stp>
        <stp>IS010</stp>
        <stp>-59CQ</stp>
        <stp>2/28/2019</stp>
        <stp>[BI_AUTMG_1.xlsx]ReferenceData!R69C6</stp>
        <stp>Per=CQ</stp>
        <stp>Dts=H</stp>
        <stp>Dir=H</stp>
        <stp>Points=59</stp>
        <stp>Sort=R</stp>
        <stp>Days=A</stp>
        <stp>Fill=B</stp>
        <stp>FX=USD</stp>
        <tr r="F69" s="3"/>
      </tp>
      <tp t="s">
        <v>#N/A Connection</v>
        <stp/>
        <stp>##V3_BDHV12</stp>
        <stp>BMW GR Equity</stp>
        <stp>IS010</stp>
        <stp>-59CQ</stp>
        <stp>2/28/2019</stp>
        <stp>[BI_AUTMG_1.xlsx]ReferenceData!R72C6</stp>
        <stp>Per=CQ</stp>
        <stp>Dts=H</stp>
        <stp>Dir=H</stp>
        <stp>Points=59</stp>
        <stp>Sort=R</stp>
        <stp>Days=A</stp>
        <stp>Fill=B</stp>
        <stp>FX=USD</stp>
        <tr r="F72" s="3"/>
      </tp>
      <tp t="s">
        <v>#N/A Connection</v>
        <stp/>
        <stp>##V3_BDHV12</stp>
        <stp>VOW GR Equity</stp>
        <stp>IS010</stp>
        <stp>-59CQ</stp>
        <stp>2/28/2019</stp>
        <stp>[BI_AUTMG_1.xlsx]ReferenceData!R57C6</stp>
        <stp>Per=CQ</stp>
        <stp>Dts=H</stp>
        <stp>Dir=H</stp>
        <stp>Points=59</stp>
        <stp>Sort=R</stp>
        <stp>Days=A</stp>
        <stp>Fill=B</stp>
        <stp>FX=USD</stp>
        <tr r="F57" s="3"/>
      </tp>
      <tp t="s">
        <v>#N/A Connection</v>
        <stp/>
        <stp>##V3_BDHV12</stp>
        <stp>000270 KS Equity</stp>
        <stp>BI047</stp>
        <stp>-59CQ</stp>
        <stp>2/28/2019</stp>
        <stp>[BI_AUTMG_1.xlsx]ReferenceData!R75C6</stp>
        <stp>Per=CQ</stp>
        <stp>Dts=H</stp>
        <stp>Dir=H</stp>
        <stp>Points=59</stp>
        <stp>Sort=R</stp>
        <stp>Days=A</stp>
        <stp>Fill=B</stp>
        <stp>DZ666=001</stp>
        <stp>X0001=NA00</stp>
        <stp>DZ667=1</stp>
        <stp>DS276=Y</stp>
        <stp>FX=USD</stp>
        <tr r="F75" s="3"/>
      </tp>
      <tp t="s">
        <v>#N/A Connection</v>
        <stp/>
        <stp>##V3_BDHV12</stp>
        <stp>7203 JP Equity</stp>
        <stp>IS010</stp>
        <stp>-59CQ</stp>
        <stp>2/28/2019</stp>
        <stp>[BI_AUTMG_1.xlsx]ReferenceData!R101C3</stp>
        <stp>PER=CQ</stp>
        <stp>Dts=S</stp>
        <stp>DtFmt=FI</stp>
        <stp>rows=2</stp>
        <stp>Dir=H</stp>
        <stp>Points=59</stp>
        <stp>Sort=R</stp>
        <stp>Days=A</stp>
        <stp>Fill=B</stp>
        <stp>FX=USD</stp>
        <tr r="C101" s="3"/>
      </tp>
      <tp t="s">
        <v>#N/A Connection</v>
        <stp/>
        <stp>##V3_BDHV12</stp>
        <stp>7203 JP Equity</stp>
        <stp>IS010</stp>
        <stp>-59CQ</stp>
        <stp>2/28/2019</stp>
        <stp>[BI_AUTMG_1.xlsx]ReferenceData!R109C3</stp>
        <stp>PER=CQ</stp>
        <stp>Dts=S</stp>
        <stp>DtFmt=FI</stp>
        <stp>rows=2</stp>
        <stp>Dir=H</stp>
        <stp>Points=59</stp>
        <stp>Sort=R</stp>
        <stp>Days=A</stp>
        <stp>Fill=B</stp>
        <stp>FX=USD</stp>
        <tr r="C109" s="3"/>
      </tp>
      <tp t="s">
        <v>#N/A Connection</v>
        <stp/>
        <stp>##V3_BDHV12</stp>
        <stp>DAI GR Equity</stp>
        <stp>IS010</stp>
        <stp>-59CQ</stp>
        <stp>2/28/2019</stp>
        <stp>[BI_AUTMG_1.xlsx]ReferenceData!R61C6</stp>
        <stp>Per=CQ</stp>
        <stp>Dts=H</stp>
        <stp>Dir=H</stp>
        <stp>Points=59</stp>
        <stp>Sort=R</stp>
        <stp>Days=A</stp>
        <stp>Fill=B</stp>
        <stp>FX=USD</stp>
        <tr r="F61" s="3"/>
      </tp>
      <tp t="s">
        <v>#N/A Connection</v>
        <stp/>
        <stp>##V3_BDHV12</stp>
        <stp>7203 JP Equity</stp>
        <stp>BI047</stp>
        <stp>-59CQ</stp>
        <stp>2/28/2019</stp>
        <stp>[BI_AUTMG_1.xlsx]ReferenceData!R111C3</stp>
        <stp>PER=CQ</stp>
        <stp>Dts=S</stp>
        <stp>DtFmt=FI</stp>
        <stp>rows=2</stp>
        <stp>Dir=H</stp>
        <stp>Points=59</stp>
        <stp>Sort=R</stp>
        <stp>Days=A</stp>
        <stp>Fill=B</stp>
        <stp>DZ666=001</stp>
        <stp>X0001=NA00</stp>
        <stp>DZ667=1</stp>
        <stp>DS276=Y</stp>
        <stp>FX=USD</stp>
        <tr r="C111" s="3"/>
      </tp>
      <tp t="s">
        <v>#N/A Connection</v>
        <stp/>
        <stp>##V3_BDHV12</stp>
        <stp>7203 JP Equity</stp>
        <stp>BI047</stp>
        <stp>-59CQ</stp>
        <stp>2/28/2019</stp>
        <stp>[BI_AUTMG_1.xlsx]ReferenceData!R103C3</stp>
        <stp>PER=CQ</stp>
        <stp>Dts=S</stp>
        <stp>DtFmt=FI</stp>
        <stp>rows=2</stp>
        <stp>Dir=H</stp>
        <stp>Points=59</stp>
        <stp>Sort=R</stp>
        <stp>Days=A</stp>
        <stp>Fill=B</stp>
        <stp>DZ666=001</stp>
        <stp>X0001=NA00</stp>
        <stp>DZ667=1</stp>
        <stp>DS276=Y</stp>
        <stp>FX=USD</stp>
        <tr r="C103" s="3"/>
      </tp>
      <tp t="s">
        <v>#N/A Connection</v>
        <stp/>
        <stp>##V3_BDHV12</stp>
        <stp>TSLA US Equity</stp>
        <stp>IS010</stp>
        <stp>-59CQ</stp>
        <stp>2/28/2019</stp>
        <stp>[BI_AUTMG_1.xlsx]ReferenceData!R87C6</stp>
        <stp>Per=CQ</stp>
        <stp>Dts=H</stp>
        <stp>Dir=H</stp>
        <stp>Points=59</stp>
        <stp>Sort=R</stp>
        <stp>Days=A</stp>
        <stp>Fill=B</stp>
        <stp>FX=USD</stp>
        <tr r="F87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7"/>
  <sheetViews>
    <sheetView tabSelected="1" workbookViewId="0">
      <selection activeCell="A13" sqref="A13"/>
    </sheetView>
  </sheetViews>
  <sheetFormatPr defaultRowHeight="15" x14ac:dyDescent="0.25"/>
  <cols>
    <col min="1" max="1" width="56.28515625" customWidth="1"/>
    <col min="2" max="2" width="15.85546875" customWidth="1"/>
    <col min="3" max="64" width="9.140625" bestFit="1" customWidth="1"/>
  </cols>
  <sheetData>
    <row r="1" spans="1:6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4" x14ac:dyDescent="0.25">
      <c r="A2" t="str">
        <f>IFERROR(IF(0=LEN(ReferenceData!$A$2),"",ReferenceData!$A$2),"")</f>
        <v>Description</v>
      </c>
      <c r="B2" t="str">
        <f>IFERROR(IF(0=LEN(ReferenceData!$B$2),"",ReferenceData!$B$2),"")</f>
        <v>Ticker</v>
      </c>
      <c r="C2" t="str">
        <f>IFERROR(IF(0=LEN(ReferenceData!$C$2),"",ReferenceData!$C$2),"")</f>
        <v>Field ID</v>
      </c>
      <c r="D2" t="str">
        <f>IFERROR(IF(0=LEN(ReferenceData!$D$2),"",ReferenceData!$D$2),"")</f>
        <v>Field Mnemonic</v>
      </c>
      <c r="E2" t="str">
        <f>IFERROR(IF(0=LEN(ReferenceData!$E$2),"",ReferenceData!$E$2),"")</f>
        <v>Data State</v>
      </c>
      <c r="F2" t="str">
        <f>IFERROR(IF(0=LEN(ReferenceData!$F$2),"",ReferenceData!$F$2),"")</f>
        <v>2018 Q4</v>
      </c>
      <c r="G2" t="str">
        <f>IFERROR(IF(0=LEN(ReferenceData!$G$2),"",ReferenceData!$G$2),"")</f>
        <v>2018 Q3</v>
      </c>
      <c r="H2" t="str">
        <f>IFERROR(IF(0=LEN(ReferenceData!$H$2),"",ReferenceData!$H$2),"")</f>
        <v>2018 Q2</v>
      </c>
      <c r="I2" t="str">
        <f>IFERROR(IF(0=LEN(ReferenceData!$I$2),"",ReferenceData!$I$2),"")</f>
        <v>2018 Q1</v>
      </c>
      <c r="J2" t="str">
        <f>IFERROR(IF(0=LEN(ReferenceData!$J$2),"",ReferenceData!$J$2),"")</f>
        <v>2017 Q4</v>
      </c>
      <c r="K2" t="str">
        <f>IFERROR(IF(0=LEN(ReferenceData!$K$2),"",ReferenceData!$K$2),"")</f>
        <v>2017 Q3</v>
      </c>
      <c r="L2" t="str">
        <f>IFERROR(IF(0=LEN(ReferenceData!$L$2),"",ReferenceData!$L$2),"")</f>
        <v>2017 Q2</v>
      </c>
      <c r="M2" t="str">
        <f>IFERROR(IF(0=LEN(ReferenceData!$M$2),"",ReferenceData!$M$2),"")</f>
        <v>2017 Q1</v>
      </c>
      <c r="N2" t="str">
        <f>IFERROR(IF(0=LEN(ReferenceData!$N$2),"",ReferenceData!$N$2),"")</f>
        <v>2016 Q4</v>
      </c>
      <c r="O2" t="str">
        <f>IFERROR(IF(0=LEN(ReferenceData!$O$2),"",ReferenceData!$O$2),"")</f>
        <v>2016 Q3</v>
      </c>
      <c r="P2" t="str">
        <f>IFERROR(IF(0=LEN(ReferenceData!$P$2),"",ReferenceData!$P$2),"")</f>
        <v>2016 Q2</v>
      </c>
      <c r="Q2" t="str">
        <f>IFERROR(IF(0=LEN(ReferenceData!$Q$2),"",ReferenceData!$Q$2),"")</f>
        <v>2016 Q1</v>
      </c>
      <c r="R2" t="str">
        <f>IFERROR(IF(0=LEN(ReferenceData!$R$2),"",ReferenceData!$R$2),"")</f>
        <v>2015 Q4</v>
      </c>
      <c r="S2" t="str">
        <f>IFERROR(IF(0=LEN(ReferenceData!$S$2),"",ReferenceData!$S$2),"")</f>
        <v>2015 Q3</v>
      </c>
      <c r="T2" t="str">
        <f>IFERROR(IF(0=LEN(ReferenceData!$T$2),"",ReferenceData!$T$2),"")</f>
        <v>2015 Q2</v>
      </c>
      <c r="U2" t="str">
        <f>IFERROR(IF(0=LEN(ReferenceData!$U$2),"",ReferenceData!$U$2),"")</f>
        <v>2015 Q1</v>
      </c>
      <c r="V2" t="str">
        <f>IFERROR(IF(0=LEN(ReferenceData!$V$2),"",ReferenceData!$V$2),"")</f>
        <v>2014 Q4</v>
      </c>
      <c r="W2" t="str">
        <f>IFERROR(IF(0=LEN(ReferenceData!$W$2),"",ReferenceData!$W$2),"")</f>
        <v>2014 Q3</v>
      </c>
      <c r="X2" t="str">
        <f>IFERROR(IF(0=LEN(ReferenceData!$X$2),"",ReferenceData!$X$2),"")</f>
        <v>2014 Q2</v>
      </c>
      <c r="Y2" t="str">
        <f>IFERROR(IF(0=LEN(ReferenceData!$Y$2),"",ReferenceData!$Y$2),"")</f>
        <v>2014 Q1</v>
      </c>
      <c r="Z2" t="str">
        <f>IFERROR(IF(0=LEN(ReferenceData!$Z$2),"",ReferenceData!$Z$2),"")</f>
        <v>2013 Q4</v>
      </c>
      <c r="AA2" t="str">
        <f>IFERROR(IF(0=LEN(ReferenceData!$AA$2),"",ReferenceData!$AA$2),"")</f>
        <v>2013 Q3</v>
      </c>
      <c r="AB2" t="str">
        <f>IFERROR(IF(0=LEN(ReferenceData!$AB$2),"",ReferenceData!$AB$2),"")</f>
        <v>2013 Q2</v>
      </c>
      <c r="AC2" t="str">
        <f>IFERROR(IF(0=LEN(ReferenceData!$AC$2),"",ReferenceData!$AC$2),"")</f>
        <v>2013 Q1</v>
      </c>
      <c r="AD2" t="str">
        <f>IFERROR(IF(0=LEN(ReferenceData!$AD$2),"",ReferenceData!$AD$2),"")</f>
        <v>2012 Q4</v>
      </c>
      <c r="AE2" t="str">
        <f>IFERROR(IF(0=LEN(ReferenceData!$AE$2),"",ReferenceData!$AE$2),"")</f>
        <v>2012 Q3</v>
      </c>
      <c r="AF2" t="str">
        <f>IFERROR(IF(0=LEN(ReferenceData!$AF$2),"",ReferenceData!$AF$2),"")</f>
        <v>2012 Q2</v>
      </c>
      <c r="AG2" t="str">
        <f>IFERROR(IF(0=LEN(ReferenceData!$AG$2),"",ReferenceData!$AG$2),"")</f>
        <v>2012 Q1</v>
      </c>
      <c r="AH2" t="str">
        <f>IFERROR(IF(0=LEN(ReferenceData!$AH$2),"",ReferenceData!$AH$2),"")</f>
        <v>2011 Q4</v>
      </c>
      <c r="AI2" t="str">
        <f>IFERROR(IF(0=LEN(ReferenceData!$AI$2),"",ReferenceData!$AI$2),"")</f>
        <v>2011 Q3</v>
      </c>
      <c r="AJ2" t="str">
        <f>IFERROR(IF(0=LEN(ReferenceData!$AJ$2),"",ReferenceData!$AJ$2),"")</f>
        <v>2011 Q2</v>
      </c>
      <c r="AK2" t="str">
        <f>IFERROR(IF(0=LEN(ReferenceData!$AK$2),"",ReferenceData!$AK$2),"")</f>
        <v>2011 Q1</v>
      </c>
      <c r="AL2" t="str">
        <f>IFERROR(IF(0=LEN(ReferenceData!$AL$2),"",ReferenceData!$AL$2),"")</f>
        <v>2010 Q4</v>
      </c>
      <c r="AM2" t="str">
        <f>IFERROR(IF(0=LEN(ReferenceData!$AM$2),"",ReferenceData!$AM$2),"")</f>
        <v>2010 Q3</v>
      </c>
      <c r="AN2" t="str">
        <f>IFERROR(IF(0=LEN(ReferenceData!$AN$2),"",ReferenceData!$AN$2),"")</f>
        <v>2010 Q2</v>
      </c>
      <c r="AO2" t="str">
        <f>IFERROR(IF(0=LEN(ReferenceData!$AO$2),"",ReferenceData!$AO$2),"")</f>
        <v>2010 Q1</v>
      </c>
      <c r="AP2" t="str">
        <f>IFERROR(IF(0=LEN(ReferenceData!$AP$2),"",ReferenceData!$AP$2),"")</f>
        <v>2009 Q4</v>
      </c>
      <c r="AQ2" t="str">
        <f>IFERROR(IF(0=LEN(ReferenceData!$AQ$2),"",ReferenceData!$AQ$2),"")</f>
        <v>2009 Q3</v>
      </c>
      <c r="AR2" t="str">
        <f>IFERROR(IF(0=LEN(ReferenceData!$AR$2),"",ReferenceData!$AR$2),"")</f>
        <v>2009 Q2</v>
      </c>
      <c r="AS2" t="str">
        <f>IFERROR(IF(0=LEN(ReferenceData!$AS$2),"",ReferenceData!$AS$2),"")</f>
        <v>2009 Q1</v>
      </c>
      <c r="AT2" t="str">
        <f>IFERROR(IF(0=LEN(ReferenceData!$AT$2),"",ReferenceData!$AT$2),"")</f>
        <v>2008 Q4</v>
      </c>
      <c r="AU2" t="str">
        <f>IFERROR(IF(0=LEN(ReferenceData!$AU$2),"",ReferenceData!$AU$2),"")</f>
        <v>2008 Q3</v>
      </c>
      <c r="AV2" t="str">
        <f>IFERROR(IF(0=LEN(ReferenceData!$AV$2),"",ReferenceData!$AV$2),"")</f>
        <v>2008 Q2</v>
      </c>
      <c r="AW2" t="str">
        <f>IFERROR(IF(0=LEN(ReferenceData!$AW$2),"",ReferenceData!$AW$2),"")</f>
        <v>2008 Q1</v>
      </c>
      <c r="AX2" t="str">
        <f>IFERROR(IF(0=LEN(ReferenceData!$AX$2),"",ReferenceData!$AX$2),"")</f>
        <v>2007 Q4</v>
      </c>
      <c r="AY2" t="str">
        <f>IFERROR(IF(0=LEN(ReferenceData!$AY$2),"",ReferenceData!$AY$2),"")</f>
        <v>2007 Q3</v>
      </c>
      <c r="AZ2" t="str">
        <f>IFERROR(IF(0=LEN(ReferenceData!$AZ$2),"",ReferenceData!$AZ$2),"")</f>
        <v>2007 Q2</v>
      </c>
      <c r="BA2" t="str">
        <f>IFERROR(IF(0=LEN(ReferenceData!$BA$2),"",ReferenceData!$BA$2),"")</f>
        <v>2007 Q1</v>
      </c>
      <c r="BB2" t="str">
        <f>IFERROR(IF(0=LEN(ReferenceData!$BB$2),"",ReferenceData!$BB$2),"")</f>
        <v>2006 Q4</v>
      </c>
      <c r="BC2" t="str">
        <f>IFERROR(IF(0=LEN(ReferenceData!$BC$2),"",ReferenceData!$BC$2),"")</f>
        <v>2006 Q3</v>
      </c>
      <c r="BD2" t="str">
        <f>IFERROR(IF(0=LEN(ReferenceData!$BD$2),"",ReferenceData!$BD$2),"")</f>
        <v>2006 Q2</v>
      </c>
      <c r="BE2" t="str">
        <f>IFERROR(IF(0=LEN(ReferenceData!$BE$2),"",ReferenceData!$BE$2),"")</f>
        <v>2006 Q1</v>
      </c>
      <c r="BF2" t="str">
        <f>IFERROR(IF(0=LEN(ReferenceData!$BF$2),"",ReferenceData!$BF$2),"")</f>
        <v>2005 Q4</v>
      </c>
      <c r="BG2" t="str">
        <f>IFERROR(IF(0=LEN(ReferenceData!$BG$2),"",ReferenceData!$BG$2),"")</f>
        <v>2005 Q3</v>
      </c>
      <c r="BH2" t="str">
        <f>IFERROR(IF(0=LEN(ReferenceData!$BH$2),"",ReferenceData!$BH$2),"")</f>
        <v>2005 Q2</v>
      </c>
      <c r="BI2" t="str">
        <f>IFERROR(IF(0=LEN(ReferenceData!$BI$2),"",ReferenceData!$BI$2),"")</f>
        <v>2005 Q1</v>
      </c>
      <c r="BJ2" t="str">
        <f>IFERROR(IF(0=LEN(ReferenceData!$BJ$2),"",ReferenceData!$BJ$2),"")</f>
        <v>2004 Q4</v>
      </c>
      <c r="BK2" t="str">
        <f>IFERROR(IF(0=LEN(ReferenceData!$BK$2),"",ReferenceData!$BK$2),"")</f>
        <v>2004 Q3</v>
      </c>
      <c r="BL2" t="str">
        <f>IFERROR(IF(0=LEN(ReferenceData!$BL$2),"",ReferenceData!$BL$2),"")</f>
        <v>2004 Q2</v>
      </c>
    </row>
    <row r="3" spans="1:64" x14ac:dyDescent="0.25">
      <c r="A3" t="str">
        <f>IFERROR(IF(0=LEN(ReferenceData!$A$3),"",ReferenceData!$A$3),"")</f>
        <v>By Geography ($M) - Toyota</v>
      </c>
      <c r="B3" t="str">
        <f>IFERROR(IF(0=LEN(ReferenceData!$B$3),"",ReferenceData!$B$3),"")</f>
        <v>7203 JP Equity</v>
      </c>
      <c r="C3" t="str">
        <f>IFERROR(IF(0=LEN(ReferenceData!$C$3),"",ReferenceData!$C$3),"")</f>
        <v>IS010</v>
      </c>
      <c r="D3" t="str">
        <f>IFERROR(IF(0=LEN(ReferenceData!$D$3),"",ReferenceData!$D$3),"")</f>
        <v>SALES_REV_TURN</v>
      </c>
      <c r="E3" t="str">
        <f>IFERROR(IF(0=LEN(ReferenceData!$E$3),"",ReferenceData!$E$3),"")</f>
        <v>Dynamic</v>
      </c>
      <c r="F3">
        <f ca="1">IFERROR(IF(0=LEN(ReferenceData!$F$3),"",ReferenceData!$F$3),"")</f>
        <v>69206.032959999997</v>
      </c>
      <c r="G3">
        <f ca="1">IFERROR(IF(0=LEN(ReferenceData!$G$3),"",ReferenceData!$G$3),"")</f>
        <v>65578.042879999994</v>
      </c>
      <c r="H3">
        <f ca="1">IFERROR(IF(0=LEN(ReferenceData!$H$3),"",ReferenceData!$H$3),"")</f>
        <v>67484.94541</v>
      </c>
      <c r="I3">
        <f ca="1">IFERROR(IF(0=LEN(ReferenceData!$I$3),"",ReferenceData!$I$3),"")</f>
        <v>70002.283649999998</v>
      </c>
      <c r="J3">
        <f ca="1">IFERROR(IF(0=LEN(ReferenceData!$J$3),"",ReferenceData!$J$3),"")</f>
        <v>67379.559349999996</v>
      </c>
      <c r="K3">
        <f ca="1">IFERROR(IF(0=LEN(ReferenceData!$K$3),"",ReferenceData!$K$3),"")</f>
        <v>64382.575470000003</v>
      </c>
      <c r="L3">
        <f ca="1">IFERROR(IF(0=LEN(ReferenceData!$L$3),"",ReferenceData!$L$3),"")</f>
        <v>63426.009050000001</v>
      </c>
      <c r="M3">
        <f ca="1">IFERROR(IF(0=LEN(ReferenceData!$M$3),"",ReferenceData!$M$3),"")</f>
        <v>65528.904150000002</v>
      </c>
      <c r="N3">
        <f ca="1">IFERROR(IF(0=LEN(ReferenceData!$N$3),"",ReferenceData!$N$3),"")</f>
        <v>64811.642899999999</v>
      </c>
      <c r="O3">
        <f ca="1">IFERROR(IF(0=LEN(ReferenceData!$O$3),"",ReferenceData!$O$3),"")</f>
        <v>63334.29019</v>
      </c>
      <c r="P3">
        <f ca="1">IFERROR(IF(0=LEN(ReferenceData!$P$3),"",ReferenceData!$P$3),"")</f>
        <v>61072.139020000002</v>
      </c>
      <c r="Q3">
        <f ca="1">IFERROR(IF(0=LEN(ReferenceData!$Q$3),"",ReferenceData!$Q$3),"")</f>
        <v>60535.764860000003</v>
      </c>
      <c r="R3">
        <f ca="1">IFERROR(IF(0=LEN(ReferenceData!$R$3),"",ReferenceData!$R$3),"")</f>
        <v>60460.080220000003</v>
      </c>
      <c r="S3">
        <f ca="1">IFERROR(IF(0=LEN(ReferenceData!$S$3),"",ReferenceData!$S$3),"")</f>
        <v>58167.0386</v>
      </c>
      <c r="T3">
        <f ca="1">IFERROR(IF(0=LEN(ReferenceData!$T$3),"",ReferenceData!$T$3),"")</f>
        <v>57591.878040000003</v>
      </c>
      <c r="U3">
        <f ca="1">IFERROR(IF(0=LEN(ReferenceData!$U$3),"",ReferenceData!$U$3),"")</f>
        <v>59741.116249999999</v>
      </c>
      <c r="V3">
        <f ca="1">IFERROR(IF(0=LEN(ReferenceData!$V$3),"",ReferenceData!$V$3),"")</f>
        <v>62728.739249999999</v>
      </c>
      <c r="W3">
        <f ca="1">IFERROR(IF(0=LEN(ReferenceData!$W$3),"",ReferenceData!$W$3),"")</f>
        <v>63070.853649999997</v>
      </c>
      <c r="X3">
        <f ca="1">IFERROR(IF(0=LEN(ReferenceData!$X$3),"",ReferenceData!$X$3),"")</f>
        <v>62586.537170000003</v>
      </c>
      <c r="Y3">
        <f ca="1">IFERROR(IF(0=LEN(ReferenceData!$Y$3),"",ReferenceData!$Y$3),"")</f>
        <v>63909.131789999999</v>
      </c>
      <c r="Z3">
        <f ca="1">IFERROR(IF(0=LEN(ReferenceData!$Z$3),"",ReferenceData!$Z$3),"")</f>
        <v>65599.145499999999</v>
      </c>
      <c r="AA3">
        <f ca="1">IFERROR(IF(0=LEN(ReferenceData!$AA$3),"",ReferenceData!$AA$3),"")</f>
        <v>63507.1106</v>
      </c>
      <c r="AB3">
        <f ca="1">IFERROR(IF(0=LEN(ReferenceData!$AB$3),"",ReferenceData!$AB$3),"")</f>
        <v>63407.090080000002</v>
      </c>
      <c r="AC3">
        <f ca="1">IFERROR(IF(0=LEN(ReferenceData!$AC$3),"",ReferenceData!$AC$3),"")</f>
        <v>63369.570399999997</v>
      </c>
      <c r="AD3">
        <f ca="1">IFERROR(IF(0=LEN(ReferenceData!$AD$3),"",ReferenceData!$AD$3),"")</f>
        <v>65540.952510000003</v>
      </c>
      <c r="AE3">
        <f ca="1">IFERROR(IF(0=LEN(ReferenceData!$AE$3),"",ReferenceData!$AE$3),"")</f>
        <v>68761.826579999994</v>
      </c>
      <c r="AF3">
        <f ca="1">IFERROR(IF(0=LEN(ReferenceData!$AF$3),"",ReferenceData!$AF$3),"")</f>
        <v>68714.408060000002</v>
      </c>
      <c r="AG3">
        <f ca="1">IFERROR(IF(0=LEN(ReferenceData!$AG$3),"",ReferenceData!$AG$3),"")</f>
        <v>71955.779790000001</v>
      </c>
      <c r="AH3">
        <f ca="1">IFERROR(IF(0=LEN(ReferenceData!$AH$3),"",ReferenceData!$AH$3),"")</f>
        <v>62905.258240000003</v>
      </c>
      <c r="AI3">
        <f ca="1">IFERROR(IF(0=LEN(ReferenceData!$AI$3),"",ReferenceData!$AI$3),"")</f>
        <v>58914.860280000001</v>
      </c>
      <c r="AJ3">
        <f ca="1">IFERROR(IF(0=LEN(ReferenceData!$AJ$3),"",ReferenceData!$AJ$3),"")</f>
        <v>42208.997080000001</v>
      </c>
      <c r="AK3">
        <f ca="1">IFERROR(IF(0=LEN(ReferenceData!$AK$3),"",ReferenceData!$AK$3),"")</f>
        <v>56454.033020000003</v>
      </c>
      <c r="AL3">
        <f ca="1">IFERROR(IF(0=LEN(ReferenceData!$AL$3),"",ReferenceData!$AL$3),"")</f>
        <v>56620.79176</v>
      </c>
      <c r="AM3">
        <f ca="1">IFERROR(IF(0=LEN(ReferenceData!$AM$3),"",ReferenceData!$AM$3),"")</f>
        <v>56066.523710000001</v>
      </c>
      <c r="AN3">
        <f ca="1">IFERROR(IF(0=LEN(ReferenceData!$AN$3),"",ReferenceData!$AN$3),"")</f>
        <v>52929.040609999996</v>
      </c>
      <c r="AO3">
        <f ca="1">IFERROR(IF(0=LEN(ReferenceData!$AO$3),"",ReferenceData!$AO$3),"")</f>
        <v>58239.385759999997</v>
      </c>
      <c r="AP3">
        <f ca="1">IFERROR(IF(0=LEN(ReferenceData!$AP$3),"",ReferenceData!$AP$3),"")</f>
        <v>58925.714379999998</v>
      </c>
      <c r="AQ3">
        <f ca="1">IFERROR(IF(0=LEN(ReferenceData!$AQ$3),"",ReferenceData!$AQ$3),"")</f>
        <v>48567.790650000003</v>
      </c>
      <c r="AR3">
        <f ca="1">IFERROR(IF(0=LEN(ReferenceData!$AR$3),"",ReferenceData!$AR$3),"")</f>
        <v>39419.54997</v>
      </c>
      <c r="AS3">
        <f ca="1">IFERROR(IF(0=LEN(ReferenceData!$AS$3),"",ReferenceData!$AS$3),"")</f>
        <v>37804.936289999998</v>
      </c>
      <c r="AT3">
        <f ca="1">IFERROR(IF(0=LEN(ReferenceData!$AT$3),"",ReferenceData!$AT$3),"")</f>
        <v>50110.363469999997</v>
      </c>
      <c r="AU3">
        <f ca="1">IFERROR(IF(0=LEN(ReferenceData!$AU$3),"",ReferenceData!$AU$3),"")</f>
        <v>55547.576650000003</v>
      </c>
      <c r="AV3">
        <f ca="1">IFERROR(IF(0=LEN(ReferenceData!$AV$3),"",ReferenceData!$AV$3),"")</f>
        <v>59427.16633</v>
      </c>
      <c r="AW3">
        <f ca="1">IFERROR(IF(0=LEN(ReferenceData!$AW$3),"",ReferenceData!$AW$3),"")</f>
        <v>62421.022360000003</v>
      </c>
      <c r="AX3">
        <f ca="1">IFERROR(IF(0=LEN(ReferenceData!$AX$3),"",ReferenceData!$AX$3),"")</f>
        <v>59319.179239999998</v>
      </c>
      <c r="AY3">
        <f ca="1">IFERROR(IF(0=LEN(ReferenceData!$AY$3),"",ReferenceData!$AY$3),"")</f>
        <v>55127.491370000003</v>
      </c>
      <c r="AZ3">
        <f ca="1">IFERROR(IF(0=LEN(ReferenceData!$AZ$3),"",ReferenceData!$AZ$3),"")</f>
        <v>54001.23962</v>
      </c>
      <c r="BA3">
        <f ca="1">IFERROR(IF(0=LEN(ReferenceData!$BA$3),"",ReferenceData!$BA$3),"")</f>
        <v>53034.912450000003</v>
      </c>
      <c r="BB3">
        <f ca="1">IFERROR(IF(0=LEN(ReferenceData!$BB$3),"",ReferenceData!$BB$3),"")</f>
        <v>52195.286059999999</v>
      </c>
      <c r="BC3">
        <f ca="1">IFERROR(IF(0=LEN(ReferenceData!$BC$3),"",ReferenceData!$BC$3),"")</f>
        <v>50176.866000000002</v>
      </c>
      <c r="BD3">
        <f ca="1">IFERROR(IF(0=LEN(ReferenceData!$BD$3),"",ReferenceData!$BD$3),"")</f>
        <v>49322.738089999999</v>
      </c>
      <c r="BE3">
        <f ca="1">IFERROR(IF(0=LEN(ReferenceData!$BE$3),"",ReferenceData!$BE$3),"")</f>
        <v>49199.278209999997</v>
      </c>
      <c r="BF3">
        <f ca="1">IFERROR(IF(0=LEN(ReferenceData!$BF$3),"",ReferenceData!$BF$3),"")</f>
        <v>45491.231090000001</v>
      </c>
      <c r="BG3">
        <f ca="1">IFERROR(IF(0=LEN(ReferenceData!$BG$3),"",ReferenceData!$BG$3),"")</f>
        <v>44699.426039999998</v>
      </c>
      <c r="BH3">
        <f ca="1">IFERROR(IF(0=LEN(ReferenceData!$BH$3),"",ReferenceData!$BH$3),"")</f>
        <v>46327.896529999998</v>
      </c>
      <c r="BI3">
        <f ca="1">IFERROR(IF(0=LEN(ReferenceData!$BI$3),"",ReferenceData!$BI$3),"")</f>
        <v>46710.248809999997</v>
      </c>
      <c r="BJ3">
        <f ca="1">IFERROR(IF(0=LEN(ReferenceData!$BJ$3),"",ReferenceData!$BJ$3),"")</f>
        <v>43961.840250000001</v>
      </c>
      <c r="BK3">
        <f ca="1">IFERROR(IF(0=LEN(ReferenceData!$BK$3),"",ReferenceData!$BK$3),"")</f>
        <v>41080.550179999998</v>
      </c>
      <c r="BL3">
        <f ca="1">IFERROR(IF(0=LEN(ReferenceData!$BL$3),"",ReferenceData!$BL$3),"")</f>
        <v>41135.592660000002</v>
      </c>
    </row>
    <row r="4" spans="1:64" x14ac:dyDescent="0.25">
      <c r="A4" t="str">
        <f>IFERROR(IF(0=LEN(ReferenceData!$A$4),"",ReferenceData!$A$4),"")</f>
        <v xml:space="preserve">        North America</v>
      </c>
      <c r="B4" t="str">
        <f>IFERROR(IF(0=LEN(ReferenceData!$B$4),"",ReferenceData!$B$4),"")</f>
        <v>7203 JP Equity</v>
      </c>
      <c r="C4" t="str">
        <f>IFERROR(IF(0=LEN(ReferenceData!$C$4),"",ReferenceData!$C$4),"")</f>
        <v>BI047</v>
      </c>
      <c r="D4" t="str">
        <f>IFERROR(IF(0=LEN(ReferenceData!$D$4),"",ReferenceData!$D$4),"")</f>
        <v>BICS_SEGMENT_DATA</v>
      </c>
      <c r="E4" t="str">
        <f>IFERROR(IF(0=LEN(ReferenceData!$E$4),"",ReferenceData!$E$4),"")</f>
        <v>Dynamic</v>
      </c>
      <c r="F4">
        <f ca="1">IFERROR(IF(0=LEN(ReferenceData!$F$4),"",ReferenceData!$F$4),"")</f>
        <v>23606.337729999999</v>
      </c>
      <c r="G4">
        <f ca="1">IFERROR(IF(0=LEN(ReferenceData!$G$4),"",ReferenceData!$G$4),"")</f>
        <v>23341.736359999999</v>
      </c>
      <c r="H4">
        <f ca="1">IFERROR(IF(0=LEN(ReferenceData!$H$4),"",ReferenceData!$H$4),"")</f>
        <v>25255.142530000001</v>
      </c>
      <c r="I4">
        <f ca="1">IFERROR(IF(0=LEN(ReferenceData!$I$4),"",ReferenceData!$I$4),"")</f>
        <v>22728.047979999999</v>
      </c>
      <c r="J4">
        <f ca="1">IFERROR(IF(0=LEN(ReferenceData!$J$4),"",ReferenceData!$J$4),"")</f>
        <v>24422.560679999999</v>
      </c>
      <c r="K4">
        <f ca="1">IFERROR(IF(0=LEN(ReferenceData!$K$4),"",ReferenceData!$K$4),"")</f>
        <v>22732.076809999999</v>
      </c>
      <c r="L4">
        <f ca="1">IFERROR(IF(0=LEN(ReferenceData!$L$4),"",ReferenceData!$L$4),"")</f>
        <v>23456.20981</v>
      </c>
      <c r="M4">
        <f ca="1">IFERROR(IF(0=LEN(ReferenceData!$M$4),"",ReferenceData!$M$4),"")</f>
        <v>22913.680919999999</v>
      </c>
      <c r="N4">
        <f ca="1">IFERROR(IF(0=LEN(ReferenceData!$N$4),"",ReferenceData!$N$4),"")</f>
        <v>24396.07228</v>
      </c>
      <c r="O4">
        <f ca="1">IFERROR(IF(0=LEN(ReferenceData!$O$4),"",ReferenceData!$O$4),"")</f>
        <v>22480.721000000001</v>
      </c>
      <c r="P4">
        <f ca="1">IFERROR(IF(0=LEN(ReferenceData!$P$4),"",ReferenceData!$P$4),"")</f>
        <v>23030.762309999998</v>
      </c>
      <c r="Q4">
        <f ca="1">IFERROR(IF(0=LEN(ReferenceData!$Q$4),"",ReferenceData!$Q$4),"")</f>
        <v>22376.440719999999</v>
      </c>
      <c r="R4">
        <f ca="1">IFERROR(IF(0=LEN(ReferenceData!$R$4),"",ReferenceData!$R$4),"")</f>
        <v>23093.000049999999</v>
      </c>
      <c r="S4">
        <f ca="1">IFERROR(IF(0=LEN(ReferenceData!$S$4),"",ReferenceData!$S$4),"")</f>
        <v>21398.78772</v>
      </c>
      <c r="T4">
        <f ca="1">IFERROR(IF(0=LEN(ReferenceData!$T$4),"",ReferenceData!$T$4),"")</f>
        <v>22923.282579999999</v>
      </c>
      <c r="U4">
        <f ca="1">IFERROR(IF(0=LEN(ReferenceData!$U$4),"",ReferenceData!$U$4),"")</f>
        <v>20731.445179999999</v>
      </c>
      <c r="V4">
        <f ca="1">IFERROR(IF(0=LEN(ReferenceData!$V$4),"",ReferenceData!$V$4),"")</f>
        <v>22539.362430000001</v>
      </c>
      <c r="W4">
        <f ca="1">IFERROR(IF(0=LEN(ReferenceData!$W$4),"",ReferenceData!$W$4),"")</f>
        <v>20924.51525</v>
      </c>
      <c r="X4">
        <f ca="1">IFERROR(IF(0=LEN(ReferenceData!$X$4),"",ReferenceData!$X$4),"")</f>
        <v>21388.081150000002</v>
      </c>
      <c r="Y4">
        <f ca="1">IFERROR(IF(0=LEN(ReferenceData!$Y$4),"",ReferenceData!$Y$4),"")</f>
        <v>18169.596699999998</v>
      </c>
      <c r="Z4">
        <f ca="1">IFERROR(IF(0=LEN(ReferenceData!$Z$4),"",ReferenceData!$Z$4),"")</f>
        <v>20819.43576</v>
      </c>
      <c r="AA4">
        <f ca="1">IFERROR(IF(0=LEN(ReferenceData!$AA$4),"",ReferenceData!$AA$4),"")</f>
        <v>19279.73172</v>
      </c>
      <c r="AB4">
        <f ca="1">IFERROR(IF(0=LEN(ReferenceData!$AB$4),"",ReferenceData!$AB$4),"")</f>
        <v>20831.030429999999</v>
      </c>
      <c r="AC4">
        <f ca="1">IFERROR(IF(0=LEN(ReferenceData!$AC$4),"",ReferenceData!$AC$4),"")</f>
        <v>24512.360939999999</v>
      </c>
      <c r="AD4">
        <f ca="1">IFERROR(IF(0=LEN(ReferenceData!$AD$4),"",ReferenceData!$AD$4),"")</f>
        <v>18599.452499999999</v>
      </c>
      <c r="AE4">
        <f ca="1">IFERROR(IF(0=LEN(ReferenceData!$AE$4),"",ReferenceData!$AE$4),"")</f>
        <v>18328.82764</v>
      </c>
      <c r="AF4">
        <f ca="1">IFERROR(IF(0=LEN(ReferenceData!$AF$4),"",ReferenceData!$AF$4),"")</f>
        <v>19759.03642</v>
      </c>
      <c r="AG4">
        <f ca="1">IFERROR(IF(0=LEN(ReferenceData!$AG$4),"",ReferenceData!$AG$4),"")</f>
        <v>17960.509770000001</v>
      </c>
      <c r="AH4">
        <f ca="1">IFERROR(IF(0=LEN(ReferenceData!$AH$4),"",ReferenceData!$AH$4),"")</f>
        <v>17705.03471</v>
      </c>
      <c r="AI4">
        <f ca="1">IFERROR(IF(0=LEN(ReferenceData!$AI$4),"",ReferenceData!$AI$4),"")</f>
        <v>13962.71031</v>
      </c>
      <c r="AJ4">
        <f ca="1">IFERROR(IF(0=LEN(ReferenceData!$AJ$4),"",ReferenceData!$AJ$4),"")</f>
        <v>10289.6091</v>
      </c>
      <c r="AK4">
        <f ca="1">IFERROR(IF(0=LEN(ReferenceData!$AK$4),"",ReferenceData!$AK$4),"")</f>
        <v>15366.727070000001</v>
      </c>
      <c r="AL4">
        <f ca="1">IFERROR(IF(0=LEN(ReferenceData!$AL$4),"",ReferenceData!$AL$4),"")</f>
        <v>16032.98963</v>
      </c>
      <c r="AM4">
        <f ca="1">IFERROR(IF(0=LEN(ReferenceData!$AM$4),"",ReferenceData!$AM$4),"")</f>
        <v>15562.67007</v>
      </c>
      <c r="AN4">
        <f ca="1">IFERROR(IF(0=LEN(ReferenceData!$AN$4),"",ReferenceData!$AN$4),"")</f>
        <v>16049.17871</v>
      </c>
      <c r="AO4">
        <f ca="1">IFERROR(IF(0=LEN(ReferenceData!$AO$4),"",ReferenceData!$AO$4),"")</f>
        <v>16181.83259</v>
      </c>
      <c r="AP4">
        <f ca="1">IFERROR(IF(0=LEN(ReferenceData!$AP$4),"",ReferenceData!$AP$4),"")</f>
        <v>18241.812000000002</v>
      </c>
      <c r="AQ4">
        <f ca="1">IFERROR(IF(0=LEN(ReferenceData!$AQ$4),"",ReferenceData!$AQ$4),"")</f>
        <v>15354.000239999999</v>
      </c>
      <c r="AR4">
        <f ca="1">IFERROR(IF(0=LEN(ReferenceData!$AR$4),"",ReferenceData!$AR$4),"")</f>
        <v>12094.067719999999</v>
      </c>
      <c r="AS4">
        <f ca="1">IFERROR(IF(0=LEN(ReferenceData!$AS$4),"",ReferenceData!$AS$4),"")</f>
        <v>9930.706897</v>
      </c>
      <c r="AT4">
        <f ca="1">IFERROR(IF(0=LEN(ReferenceData!$AT$4),"",ReferenceData!$AT$4),"")</f>
        <v>14072.41617</v>
      </c>
      <c r="AU4">
        <f ca="1">IFERROR(IF(0=LEN(ReferenceData!$AU$4),"",ReferenceData!$AU$4),"")</f>
        <v>17673.672429999999</v>
      </c>
      <c r="AV4">
        <f ca="1">IFERROR(IF(0=LEN(ReferenceData!$AV$4),"",ReferenceData!$AV$4),"")</f>
        <v>20226.423350000001</v>
      </c>
      <c r="AW4" t="str">
        <f ca="1">IFERROR(IF(0=LEN(ReferenceData!$AW$4),"",ReferenceData!$AW$4),"")</f>
        <v/>
      </c>
      <c r="AX4" t="str">
        <f ca="1">IFERROR(IF(0=LEN(ReferenceData!$AX$4),"",ReferenceData!$AX$4),"")</f>
        <v/>
      </c>
      <c r="AY4" t="str">
        <f ca="1">IFERROR(IF(0=LEN(ReferenceData!$AY$4),"",ReferenceData!$AY$4),"")</f>
        <v/>
      </c>
      <c r="AZ4" t="str">
        <f ca="1">IFERROR(IF(0=LEN(ReferenceData!$AZ$4),"",ReferenceData!$AZ$4),"")</f>
        <v/>
      </c>
      <c r="BA4" t="str">
        <f ca="1">IFERROR(IF(0=LEN(ReferenceData!$BA$4),"",ReferenceData!$BA$4),"")</f>
        <v/>
      </c>
      <c r="BB4" t="str">
        <f ca="1">IFERROR(IF(0=LEN(ReferenceData!$BB$4),"",ReferenceData!$BB$4),"")</f>
        <v/>
      </c>
      <c r="BC4" t="str">
        <f ca="1">IFERROR(IF(0=LEN(ReferenceData!$BC$4),"",ReferenceData!$BC$4),"")</f>
        <v/>
      </c>
      <c r="BD4" t="str">
        <f ca="1">IFERROR(IF(0=LEN(ReferenceData!$BD$4),"",ReferenceData!$BD$4),"")</f>
        <v/>
      </c>
      <c r="BE4" t="str">
        <f ca="1">IFERROR(IF(0=LEN(ReferenceData!$BE$4),"",ReferenceData!$BE$4),"")</f>
        <v/>
      </c>
      <c r="BF4" t="str">
        <f ca="1">IFERROR(IF(0=LEN(ReferenceData!$BF$4),"",ReferenceData!$BF$4),"")</f>
        <v/>
      </c>
      <c r="BG4" t="str">
        <f ca="1">IFERROR(IF(0=LEN(ReferenceData!$BG$4),"",ReferenceData!$BG$4),"")</f>
        <v/>
      </c>
      <c r="BH4" t="str">
        <f ca="1">IFERROR(IF(0=LEN(ReferenceData!$BH$4),"",ReferenceData!$BH$4),"")</f>
        <v/>
      </c>
      <c r="BI4" t="str">
        <f ca="1">IFERROR(IF(0=LEN(ReferenceData!$BI$4),"",ReferenceData!$BI$4),"")</f>
        <v/>
      </c>
      <c r="BJ4" t="str">
        <f ca="1">IFERROR(IF(0=LEN(ReferenceData!$BJ$4),"",ReferenceData!$BJ$4),"")</f>
        <v/>
      </c>
      <c r="BK4" t="str">
        <f ca="1">IFERROR(IF(0=LEN(ReferenceData!$BK$4),"",ReferenceData!$BK$4),"")</f>
        <v/>
      </c>
      <c r="BL4" t="str">
        <f ca="1">IFERROR(IF(0=LEN(ReferenceData!$BL$4),"",ReferenceData!$BL$4),"")</f>
        <v/>
      </c>
    </row>
    <row r="5" spans="1:64" x14ac:dyDescent="0.25">
      <c r="A5" t="str">
        <f>IFERROR(IF(0=LEN(ReferenceData!$A$5),"",ReferenceData!$A$5),"")</f>
        <v>By Geography ($M) - Volkswagen</v>
      </c>
      <c r="B5" t="str">
        <f>IFERROR(IF(0=LEN(ReferenceData!$B$5),"",ReferenceData!$B$5),"")</f>
        <v>VOW GR Equity</v>
      </c>
      <c r="C5" t="str">
        <f>IFERROR(IF(0=LEN(ReferenceData!$C$5),"",ReferenceData!$C$5),"")</f>
        <v>IS010</v>
      </c>
      <c r="D5" t="str">
        <f>IFERROR(IF(0=LEN(ReferenceData!$D$5),"",ReferenceData!$D$5),"")</f>
        <v>SALES_REV_TURN</v>
      </c>
      <c r="E5" t="str">
        <f>IFERROR(IF(0=LEN(ReferenceData!$E$5),"",ReferenceData!$E$5),"")</f>
        <v>Dynamic</v>
      </c>
      <c r="F5">
        <f ca="1">IFERROR(IF(0=LEN(ReferenceData!$F$5),"",ReferenceData!$F$5),"")</f>
        <v>69915.579639999996</v>
      </c>
      <c r="G5">
        <f ca="1">IFERROR(IF(0=LEN(ReferenceData!$G$5),"",ReferenceData!$G$5),"")</f>
        <v>64190.445229999998</v>
      </c>
      <c r="H5">
        <f ca="1">IFERROR(IF(0=LEN(ReferenceData!$H$5),"",ReferenceData!$H$5),"")</f>
        <v>72901.231010000003</v>
      </c>
      <c r="I5">
        <f ca="1">IFERROR(IF(0=LEN(ReferenceData!$I$5),"",ReferenceData!$I$5),"")</f>
        <v>71561.407460000002</v>
      </c>
      <c r="J5">
        <f ca="1">IFERROR(IF(0=LEN(ReferenceData!$J$5),"",ReferenceData!$J$5),"")</f>
        <v>70449.913279999993</v>
      </c>
      <c r="K5">
        <f ca="1">IFERROR(IF(0=LEN(ReferenceData!$K$5),"",ReferenceData!$K$5),"")</f>
        <v>64287.187879999998</v>
      </c>
      <c r="L5">
        <f ca="1">IFERROR(IF(0=LEN(ReferenceData!$L$5),"",ReferenceData!$L$5),"")</f>
        <v>65128.604330000002</v>
      </c>
      <c r="M5">
        <f ca="1">IFERROR(IF(0=LEN(ReferenceData!$M$5),"",ReferenceData!$M$5),"")</f>
        <v>59860.175510000001</v>
      </c>
      <c r="N5">
        <f ca="1">IFERROR(IF(0=LEN(ReferenceData!$N$5),"",ReferenceData!$N$5),"")</f>
        <v>61805.648110000002</v>
      </c>
      <c r="O5">
        <f ca="1">IFERROR(IF(0=LEN(ReferenceData!$O$5),"",ReferenceData!$O$5),"")</f>
        <v>58038.669300000001</v>
      </c>
      <c r="P5">
        <f ca="1">IFERROR(IF(0=LEN(ReferenceData!$P$5),"",ReferenceData!$P$5),"")</f>
        <v>64352.14961</v>
      </c>
      <c r="Q5">
        <f ca="1">IFERROR(IF(0=LEN(ReferenceData!$Q$5),"",ReferenceData!$Q$5),"")</f>
        <v>56235.923940000001</v>
      </c>
      <c r="R5">
        <f ca="1">IFERROR(IF(0=LEN(ReferenceData!$R$5),"",ReferenceData!$R$5),"")</f>
        <v>58075.223570000002</v>
      </c>
      <c r="S5">
        <f ca="1">IFERROR(IF(0=LEN(ReferenceData!$S$5),"",ReferenceData!$S$5),"")</f>
        <v>57251.917479999996</v>
      </c>
      <c r="T5">
        <f ca="1">IFERROR(IF(0=LEN(ReferenceData!$T$5),"",ReferenceData!$T$5),"")</f>
        <v>62028.748059999998</v>
      </c>
      <c r="U5">
        <f ca="1">IFERROR(IF(0=LEN(ReferenceData!$U$5),"",ReferenceData!$U$5),"")</f>
        <v>59404.931040000003</v>
      </c>
      <c r="V5">
        <f ca="1">IFERROR(IF(0=LEN(ReferenceData!$V$5),"",ReferenceData!$V$5),"")</f>
        <v>68355.368229999993</v>
      </c>
      <c r="W5">
        <f ca="1">IFERROR(IF(0=LEN(ReferenceData!$W$5),"",ReferenceData!$W$5),"")</f>
        <v>64820.137690000003</v>
      </c>
      <c r="X5">
        <f ca="1">IFERROR(IF(0=LEN(ReferenceData!$X$5),"",ReferenceData!$X$5),"")</f>
        <v>69914.910340000002</v>
      </c>
      <c r="Y5">
        <f ca="1">IFERROR(IF(0=LEN(ReferenceData!$Y$5),"",ReferenceData!$Y$5),"")</f>
        <v>65546.075060000003</v>
      </c>
      <c r="Z5">
        <f ca="1">IFERROR(IF(0=LEN(ReferenceData!$Z$5),"",ReferenceData!$Z$5),"")</f>
        <v>69894.119219999993</v>
      </c>
      <c r="AA5">
        <f ca="1">IFERROR(IF(0=LEN(ReferenceData!$AA$5),"",ReferenceData!$AA$5),"")</f>
        <v>62239.506050000004</v>
      </c>
      <c r="AB5">
        <f ca="1">IFERROR(IF(0=LEN(ReferenceData!$AB$5),"",ReferenceData!$AB$5),"")</f>
        <v>68083.119590000002</v>
      </c>
      <c r="AC5">
        <f ca="1">IFERROR(IF(0=LEN(ReferenceData!$AC$5),"",ReferenceData!$AC$5),"")</f>
        <v>61478.452270000002</v>
      </c>
      <c r="AD5">
        <f ca="1">IFERROR(IF(0=LEN(ReferenceData!$AD$5),"",ReferenceData!$AD$5),"")</f>
        <v>62864.693509999997</v>
      </c>
      <c r="AE5">
        <f ca="1">IFERROR(IF(0=LEN(ReferenceData!$AE$5),"",ReferenceData!$AE$5),"")</f>
        <v>61108.934419999998</v>
      </c>
      <c r="AF5">
        <f ca="1">IFERROR(IF(0=LEN(ReferenceData!$AF$5),"",ReferenceData!$AF$5),"")</f>
        <v>61660.518609999999</v>
      </c>
      <c r="AG5">
        <f ca="1">IFERROR(IF(0=LEN(ReferenceData!$AG$5),"",ReferenceData!$AG$5),"")</f>
        <v>62071.955220000003</v>
      </c>
      <c r="AH5">
        <f ca="1">IFERROR(IF(0=LEN(ReferenceData!$AH$5),"",ReferenceData!$AH$5),"")</f>
        <v>58020.668250000002</v>
      </c>
      <c r="AI5">
        <f ca="1">IFERROR(IF(0=LEN(ReferenceData!$AI$5),"",ReferenceData!$AI$5),"")</f>
        <v>54406.50634</v>
      </c>
      <c r="AJ5">
        <f ca="1">IFERROR(IF(0=LEN(ReferenceData!$AJ$5),"",ReferenceData!$AJ$5),"")</f>
        <v>58012.399429999998</v>
      </c>
      <c r="AK5">
        <f ca="1">IFERROR(IF(0=LEN(ReferenceData!$AK$5),"",ReferenceData!$AK$5),"")</f>
        <v>51300.195419999996</v>
      </c>
      <c r="AL5">
        <f ca="1">IFERROR(IF(0=LEN(ReferenceData!$AL$5),"",ReferenceData!$AL$5),"")</f>
        <v>46603.024469999997</v>
      </c>
      <c r="AM5">
        <f ca="1">IFERROR(IF(0=LEN(ReferenceData!$AM$5),"",ReferenceData!$AM$5),"")</f>
        <v>39733.934439999997</v>
      </c>
      <c r="AN5">
        <f ca="1">IFERROR(IF(0=LEN(ReferenceData!$AN$5),"",ReferenceData!$AN$5),"")</f>
        <v>42224.235860000001</v>
      </c>
      <c r="AO5">
        <f ca="1">IFERROR(IF(0=LEN(ReferenceData!$AO$5),"",ReferenceData!$AO$5),"")</f>
        <v>39644.428870000003</v>
      </c>
      <c r="AP5">
        <f ca="1">IFERROR(IF(0=LEN(ReferenceData!$AP$5),"",ReferenceData!$AP$5),"")</f>
        <v>41373.986989999998</v>
      </c>
      <c r="AQ5">
        <f ca="1">IFERROR(IF(0=LEN(ReferenceData!$AQ$5),"",ReferenceData!$AQ$5),"")</f>
        <v>37131.04118</v>
      </c>
      <c r="AR5">
        <f ca="1">IFERROR(IF(0=LEN(ReferenceData!$AR$5),"",ReferenceData!$AR$5),"")</f>
        <v>37073.453699999998</v>
      </c>
      <c r="AS5">
        <f ca="1">IFERROR(IF(0=LEN(ReferenceData!$AS$5),"",ReferenceData!$AS$5),"")</f>
        <v>31320.23244</v>
      </c>
      <c r="AT5">
        <f ca="1">IFERROR(IF(0=LEN(ReferenceData!$AT$5),"",ReferenceData!$AT$5),"")</f>
        <v>37465.299279999999</v>
      </c>
      <c r="AU5">
        <f ca="1">IFERROR(IF(0=LEN(ReferenceData!$AU$5),"",ReferenceData!$AU$5),"")</f>
        <v>43495.075629999999</v>
      </c>
      <c r="AV5">
        <f ca="1">IFERROR(IF(0=LEN(ReferenceData!$AV$5),"",ReferenceData!$AV$5),"")</f>
        <v>46076.141230000001</v>
      </c>
      <c r="AW5">
        <f ca="1">IFERROR(IF(0=LEN(ReferenceData!$AW$5),"",ReferenceData!$AW$5),"")</f>
        <v>40495.491679999999</v>
      </c>
      <c r="AX5">
        <f ca="1">IFERROR(IF(0=LEN(ReferenceData!$AX$5),"",ReferenceData!$AX$5),"")</f>
        <v>40462.544569999998</v>
      </c>
      <c r="AY5">
        <f ca="1">IFERROR(IF(0=LEN(ReferenceData!$AY$5),"",ReferenceData!$AY$5),"")</f>
        <v>35885.506410000002</v>
      </c>
      <c r="AZ5">
        <f ca="1">IFERROR(IF(0=LEN(ReferenceData!$AZ$5),"",ReferenceData!$AZ$5),"")</f>
        <v>38038.790820000002</v>
      </c>
      <c r="BA5">
        <f ca="1">IFERROR(IF(0=LEN(ReferenceData!$BA$5),"",ReferenceData!$BA$5),"")</f>
        <v>34920.484559999997</v>
      </c>
      <c r="BB5">
        <f ca="1">IFERROR(IF(0=LEN(ReferenceData!$BB$5),"",ReferenceData!$BB$5),"")</f>
        <v>35914.38033</v>
      </c>
      <c r="BC5">
        <f ca="1">IFERROR(IF(0=LEN(ReferenceData!$BC$5),"",ReferenceData!$BC$5),"")</f>
        <v>32036.685150000001</v>
      </c>
      <c r="BD5">
        <f ca="1">IFERROR(IF(0=LEN(ReferenceData!$BD$5),"",ReferenceData!$BD$5),"")</f>
        <v>33410.990330000001</v>
      </c>
      <c r="BE5">
        <f ca="1">IFERROR(IF(0=LEN(ReferenceData!$BE$5),"",ReferenceData!$BE$5),"")</f>
        <v>30484.055629999999</v>
      </c>
      <c r="BF5">
        <f ca="1">IFERROR(IF(0=LEN(ReferenceData!$BF$5),"",ReferenceData!$BF$5),"")</f>
        <v>29816.984189999999</v>
      </c>
      <c r="BG5">
        <f ca="1">IFERROR(IF(0=LEN(ReferenceData!$BG$5),"",ReferenceData!$BG$5),"")</f>
        <v>28622.253509999999</v>
      </c>
      <c r="BH5">
        <f ca="1">IFERROR(IF(0=LEN(ReferenceData!$BH$5),"",ReferenceData!$BH$5),"")</f>
        <v>30943.073329999999</v>
      </c>
      <c r="BI5">
        <f ca="1">IFERROR(IF(0=LEN(ReferenceData!$BI$5),"",ReferenceData!$BI$5),"")</f>
        <v>27354.748540000001</v>
      </c>
      <c r="BJ5">
        <f ca="1">IFERROR(IF(0=LEN(ReferenceData!$BJ$5),"",ReferenceData!$BJ$5),"")</f>
        <v>29365.390920000002</v>
      </c>
      <c r="BK5">
        <f ca="1">IFERROR(IF(0=LEN(ReferenceData!$BK$5),"",ReferenceData!$BK$5),"")</f>
        <v>25905.10125</v>
      </c>
      <c r="BL5">
        <f ca="1">IFERROR(IF(0=LEN(ReferenceData!$BL$5),"",ReferenceData!$BL$5),"")</f>
        <v>28329.411950000002</v>
      </c>
    </row>
    <row r="6" spans="1:64" x14ac:dyDescent="0.25">
      <c r="A6" t="str">
        <f>IFERROR(IF(0=LEN(ReferenceData!$A$6),"",ReferenceData!$A$6),"")</f>
        <v xml:space="preserve">        North America</v>
      </c>
      <c r="B6" t="str">
        <f>IFERROR(IF(0=LEN(ReferenceData!$B$6),"",ReferenceData!$B$6),"")</f>
        <v>VOW GR Equity</v>
      </c>
      <c r="C6" t="str">
        <f>IFERROR(IF(0=LEN(ReferenceData!$C$6),"",ReferenceData!$C$6),"")</f>
        <v>BI047</v>
      </c>
      <c r="D6" t="str">
        <f>IFERROR(IF(0=LEN(ReferenceData!$D$6),"",ReferenceData!$D$6),"")</f>
        <v>BICS_SEGMENT_DATA</v>
      </c>
      <c r="E6" t="str">
        <f>IFERROR(IF(0=LEN(ReferenceData!$E$6),"",ReferenceData!$E$6),"")</f>
        <v>Dynamic</v>
      </c>
      <c r="F6" t="str">
        <f ca="1">IFERROR(IF(0=LEN(ReferenceData!$F$6),"",ReferenceData!$F$6),"")</f>
        <v/>
      </c>
      <c r="G6">
        <f ca="1">IFERROR(IF(0=LEN(ReferenceData!$G$6),"",ReferenceData!$G$6),"")</f>
        <v>11237.9794</v>
      </c>
      <c r="H6">
        <f ca="1">IFERROR(IF(0=LEN(ReferenceData!$H$6),"",ReferenceData!$H$6),"")</f>
        <v>10723.749739999999</v>
      </c>
      <c r="I6">
        <f ca="1">IFERROR(IF(0=LEN(ReferenceData!$I$6),"",ReferenceData!$I$6),"")</f>
        <v>10735.00995</v>
      </c>
      <c r="J6">
        <f ca="1">IFERROR(IF(0=LEN(ReferenceData!$J$6),"",ReferenceData!$J$6),"")</f>
        <v>12158.96394</v>
      </c>
      <c r="K6">
        <f ca="1">IFERROR(IF(0=LEN(ReferenceData!$K$6),"",ReferenceData!$K$6),"")</f>
        <v>10984.37239</v>
      </c>
      <c r="L6">
        <f ca="1">IFERROR(IF(0=LEN(ReferenceData!$L$6),"",ReferenceData!$L$6),"")</f>
        <v>10895.872810000001</v>
      </c>
      <c r="M6">
        <f ca="1">IFERROR(IF(0=LEN(ReferenceData!$M$6),"",ReferenceData!$M$6),"")</f>
        <v>9000.8093499999995</v>
      </c>
      <c r="N6">
        <f ca="1">IFERROR(IF(0=LEN(ReferenceData!$N$6),"",ReferenceData!$N$6),"")</f>
        <v>10568.4586</v>
      </c>
      <c r="O6">
        <f ca="1">IFERROR(IF(0=LEN(ReferenceData!$O$6),"",ReferenceData!$O$6),"")</f>
        <v>9605.9539590000004</v>
      </c>
      <c r="P6">
        <f ca="1">IFERROR(IF(0=LEN(ReferenceData!$P$6),"",ReferenceData!$P$6),"")</f>
        <v>10111.81905</v>
      </c>
      <c r="Q6">
        <f ca="1">IFERROR(IF(0=LEN(ReferenceData!$Q$6),"",ReferenceData!$Q$6),"")</f>
        <v>8929.0694700000004</v>
      </c>
      <c r="R6">
        <f ca="1">IFERROR(IF(0=LEN(ReferenceData!$R$6),"",ReferenceData!$R$6),"")</f>
        <v>9652.7375690000008</v>
      </c>
      <c r="S6">
        <f ca="1">IFERROR(IF(0=LEN(ReferenceData!$S$6),"",ReferenceData!$S$6),"")</f>
        <v>10181.18275</v>
      </c>
      <c r="T6">
        <f ca="1">IFERROR(IF(0=LEN(ReferenceData!$T$6),"",ReferenceData!$T$6),"")</f>
        <v>10782.892229999999</v>
      </c>
      <c r="U6">
        <f ca="1">IFERROR(IF(0=LEN(ReferenceData!$U$6),"",ReferenceData!$U$6),"")</f>
        <v>8642.355759</v>
      </c>
      <c r="V6">
        <f ca="1">IFERROR(IF(0=LEN(ReferenceData!$V$6),"",ReferenceData!$V$6),"")</f>
        <v>9926.1385109999992</v>
      </c>
      <c r="W6">
        <f ca="1">IFERROR(IF(0=LEN(ReferenceData!$W$6),"",ReferenceData!$W$6),"")</f>
        <v>8965.6150369999996</v>
      </c>
      <c r="X6">
        <f ca="1">IFERROR(IF(0=LEN(ReferenceData!$X$6),"",ReferenceData!$X$6),"")</f>
        <v>9524.6876620000003</v>
      </c>
      <c r="Y6">
        <f ca="1">IFERROR(IF(0=LEN(ReferenceData!$Y$6),"",ReferenceData!$Y$6),"")</f>
        <v>8170.3052369999996</v>
      </c>
      <c r="Z6">
        <f ca="1">IFERROR(IF(0=LEN(ReferenceData!$Z$6),"",ReferenceData!$Z$6),"")</f>
        <v>9672.305891</v>
      </c>
      <c r="AA6">
        <f ca="1">IFERROR(IF(0=LEN(ReferenceData!$AA$6),"",ReferenceData!$AA$6),"")</f>
        <v>8573.2485500000003</v>
      </c>
      <c r="AB6">
        <f ca="1">IFERROR(IF(0=LEN(ReferenceData!$AB$6),"",ReferenceData!$AB$6),"")</f>
        <v>9540.6758279999995</v>
      </c>
      <c r="AC6">
        <f ca="1">IFERROR(IF(0=LEN(ReferenceData!$AC$6),"",ReferenceData!$AC$6),"")</f>
        <v>8652.8749769999995</v>
      </c>
      <c r="AD6">
        <f ca="1">IFERROR(IF(0=LEN(ReferenceData!$AD$6),"",ReferenceData!$AD$6),"")</f>
        <v>8839.9825980000005</v>
      </c>
      <c r="AE6">
        <f ca="1">IFERROR(IF(0=LEN(ReferenceData!$AE$6),"",ReferenceData!$AE$6),"")</f>
        <v>8648.1752309999993</v>
      </c>
      <c r="AF6">
        <f ca="1">IFERROR(IF(0=LEN(ReferenceData!$AF$6),"",ReferenceData!$AF$6),"")</f>
        <v>7769.8002200000001</v>
      </c>
      <c r="AG6">
        <f ca="1">IFERROR(IF(0=LEN(ReferenceData!$AG$6),"",ReferenceData!$AG$6),"")</f>
        <v>6905.4820650000001</v>
      </c>
      <c r="AH6">
        <f ca="1">IFERROR(IF(0=LEN(ReferenceData!$AH$6),"",ReferenceData!$AH$6),"")</f>
        <v>6667.4315219999999</v>
      </c>
      <c r="AI6">
        <f ca="1">IFERROR(IF(0=LEN(ReferenceData!$AI$6),"",ReferenceData!$AI$6),"")</f>
        <v>6156.6149409999998</v>
      </c>
      <c r="AJ6">
        <f ca="1">IFERROR(IF(0=LEN(ReferenceData!$AJ$6),"",ReferenceData!$AJ$6),"")</f>
        <v>6148.4678640000002</v>
      </c>
      <c r="AK6">
        <f ca="1">IFERROR(IF(0=LEN(ReferenceData!$AK$6),"",ReferenceData!$AK$6),"")</f>
        <v>5442.3196989999997</v>
      </c>
      <c r="AL6">
        <f ca="1">IFERROR(IF(0=LEN(ReferenceData!$AL$6),"",ReferenceData!$AL$6),"")</f>
        <v>5354.1416440000003</v>
      </c>
      <c r="AM6">
        <f ca="1">IFERROR(IF(0=LEN(ReferenceData!$AM$6),"",ReferenceData!$AM$6),"")</f>
        <v>5075.002493</v>
      </c>
      <c r="AN6">
        <f ca="1">IFERROR(IF(0=LEN(ReferenceData!$AN$6),"",ReferenceData!$AN$6),"")</f>
        <v>5152.930539</v>
      </c>
      <c r="AO6">
        <f ca="1">IFERROR(IF(0=LEN(ReferenceData!$AO$6),"",ReferenceData!$AO$6),"")</f>
        <v>4536.4065300000002</v>
      </c>
      <c r="AP6">
        <f ca="1">IFERROR(IF(0=LEN(ReferenceData!$AP$6),"",ReferenceData!$AP$6),"")</f>
        <v>4428.340682</v>
      </c>
      <c r="AQ6">
        <f ca="1">IFERROR(IF(0=LEN(ReferenceData!$AQ$6),"",ReferenceData!$AQ$6),"")</f>
        <v>3912.5210980000002</v>
      </c>
      <c r="AR6">
        <f ca="1">IFERROR(IF(0=LEN(ReferenceData!$AR$6),"",ReferenceData!$AR$6),"")</f>
        <v>4084.4443900000001</v>
      </c>
      <c r="AS6">
        <f ca="1">IFERROR(IF(0=LEN(ReferenceData!$AS$6),"",ReferenceData!$AS$6),"")</f>
        <v>3476.690662</v>
      </c>
      <c r="AT6">
        <f ca="1">IFERROR(IF(0=LEN(ReferenceData!$AT$6),"",ReferenceData!$AT$6),"")</f>
        <v>4791.4283589999995</v>
      </c>
      <c r="AU6">
        <f ca="1">IFERROR(IF(0=LEN(ReferenceData!$AU$6),"",ReferenceData!$AU$6),"")</f>
        <v>4630.3343329999998</v>
      </c>
      <c r="AV6">
        <f ca="1">IFERROR(IF(0=LEN(ReferenceData!$AV$6),"",ReferenceData!$AV$6),"")</f>
        <v>4765.9046619999999</v>
      </c>
      <c r="AW6">
        <f ca="1">IFERROR(IF(0=LEN(ReferenceData!$AW$6),"",ReferenceData!$AW$6),"")</f>
        <v>4432.8719090000004</v>
      </c>
      <c r="AX6">
        <f ca="1">IFERROR(IF(0=LEN(ReferenceData!$AX$6),"",ReferenceData!$AX$6),"")</f>
        <v>4592.3880179999996</v>
      </c>
      <c r="AY6">
        <f ca="1">IFERROR(IF(0=LEN(ReferenceData!$AY$6),"",ReferenceData!$AY$6),"")</f>
        <v>4416.6142680000003</v>
      </c>
      <c r="AZ6">
        <f ca="1">IFERROR(IF(0=LEN(ReferenceData!$AZ$6),"",ReferenceData!$AZ$6),"")</f>
        <v>4743.3881359999996</v>
      </c>
      <c r="BA6">
        <f ca="1">IFERROR(IF(0=LEN(ReferenceData!$BA$6),"",ReferenceData!$BA$6),"")</f>
        <v>4348.0197930000004</v>
      </c>
      <c r="BB6">
        <f ca="1">IFERROR(IF(0=LEN(ReferenceData!$BB$6),"",ReferenceData!$BB$6),"")</f>
        <v>5800.2251690000003</v>
      </c>
      <c r="BC6">
        <f ca="1">IFERROR(IF(0=LEN(ReferenceData!$BC$6),"",ReferenceData!$BC$6),"")</f>
        <v>4423.5553410000002</v>
      </c>
      <c r="BD6">
        <f ca="1">IFERROR(IF(0=LEN(ReferenceData!$BD$6),"",ReferenceData!$BD$6),"")</f>
        <v>4387.2763420000001</v>
      </c>
      <c r="BE6">
        <f ca="1">IFERROR(IF(0=LEN(ReferenceData!$BE$6),"",ReferenceData!$BE$6),"")</f>
        <v>4389.0687509999998</v>
      </c>
      <c r="BF6" t="str">
        <f ca="1">IFERROR(IF(0=LEN(ReferenceData!$BF$6),"",ReferenceData!$BF$6),"")</f>
        <v/>
      </c>
      <c r="BG6" t="str">
        <f ca="1">IFERROR(IF(0=LEN(ReferenceData!$BG$6),"",ReferenceData!$BG$6),"")</f>
        <v/>
      </c>
      <c r="BH6">
        <f ca="1">IFERROR(IF(0=LEN(ReferenceData!$BH$6),"",ReferenceData!$BH$6),"")</f>
        <v>4151.590897</v>
      </c>
      <c r="BI6">
        <f ca="1">IFERROR(IF(0=LEN(ReferenceData!$BI$6),"",ReferenceData!$BI$6),"")</f>
        <v>3525.3735350000002</v>
      </c>
      <c r="BJ6" t="str">
        <f ca="1">IFERROR(IF(0=LEN(ReferenceData!$BJ$6),"",ReferenceData!$BJ$6),"")</f>
        <v/>
      </c>
      <c r="BK6" t="str">
        <f ca="1">IFERROR(IF(0=LEN(ReferenceData!$BK$6),"",ReferenceData!$BK$6),"")</f>
        <v/>
      </c>
      <c r="BL6" t="str">
        <f ca="1">IFERROR(IF(0=LEN(ReferenceData!$BL$6),"",ReferenceData!$BL$6),"")</f>
        <v/>
      </c>
    </row>
    <row r="7" spans="1:64" x14ac:dyDescent="0.25">
      <c r="A7" t="str">
        <f>IFERROR(IF(0=LEN(ReferenceData!$A$7),"",ReferenceData!$A$7),"")</f>
        <v>By Geography ($M) - GM</v>
      </c>
      <c r="B7" t="str">
        <f>IFERROR(IF(0=LEN(ReferenceData!$B$7),"",ReferenceData!$B$7),"")</f>
        <v>GM US Equity</v>
      </c>
      <c r="C7" t="str">
        <f>IFERROR(IF(0=LEN(ReferenceData!$C$7),"",ReferenceData!$C$7),"")</f>
        <v>IS010</v>
      </c>
      <c r="D7" t="str">
        <f>IFERROR(IF(0=LEN(ReferenceData!$D$7),"",ReferenceData!$D$7),"")</f>
        <v>SALES_REV_TURN</v>
      </c>
      <c r="E7" t="str">
        <f>IFERROR(IF(0=LEN(ReferenceData!$E$7),"",ReferenceData!$E$7),"")</f>
        <v>Dynamic</v>
      </c>
      <c r="F7">
        <f ca="1">IFERROR(IF(0=LEN(ReferenceData!$F$7),"",ReferenceData!$F$7),"")</f>
        <v>38399</v>
      </c>
      <c r="G7">
        <f ca="1">IFERROR(IF(0=LEN(ReferenceData!$G$7),"",ReferenceData!$G$7),"")</f>
        <v>35791</v>
      </c>
      <c r="H7">
        <f ca="1">IFERROR(IF(0=LEN(ReferenceData!$H$7),"",ReferenceData!$H$7),"")</f>
        <v>36760</v>
      </c>
      <c r="I7">
        <f ca="1">IFERROR(IF(0=LEN(ReferenceData!$I$7),"",ReferenceData!$I$7),"")</f>
        <v>36099</v>
      </c>
      <c r="J7">
        <f ca="1">IFERROR(IF(0=LEN(ReferenceData!$J$7),"",ReferenceData!$J$7),"")</f>
        <v>37715</v>
      </c>
      <c r="K7">
        <f ca="1">IFERROR(IF(0=LEN(ReferenceData!$K$7),"",ReferenceData!$K$7),"")</f>
        <v>33623</v>
      </c>
      <c r="L7">
        <f ca="1">IFERROR(IF(0=LEN(ReferenceData!$L$7),"",ReferenceData!$L$7),"")</f>
        <v>36984</v>
      </c>
      <c r="M7">
        <f ca="1">IFERROR(IF(0=LEN(ReferenceData!$M$7),"",ReferenceData!$M$7),"")</f>
        <v>37266</v>
      </c>
      <c r="N7">
        <f ca="1">IFERROR(IF(0=LEN(ReferenceData!$N$7),"",ReferenceData!$N$7),"")</f>
        <v>39896</v>
      </c>
      <c r="O7">
        <f ca="1">IFERROR(IF(0=LEN(ReferenceData!$O$7),"",ReferenceData!$O$7),"")</f>
        <v>38889</v>
      </c>
      <c r="P7">
        <f ca="1">IFERROR(IF(0=LEN(ReferenceData!$P$7),"",ReferenceData!$P$7),"")</f>
        <v>37383</v>
      </c>
      <c r="Q7">
        <f ca="1">IFERROR(IF(0=LEN(ReferenceData!$Q$7),"",ReferenceData!$Q$7),"")</f>
        <v>37265</v>
      </c>
      <c r="R7">
        <f ca="1">IFERROR(IF(0=LEN(ReferenceData!$R$7),"",ReferenceData!$R$7),"")</f>
        <v>39621</v>
      </c>
      <c r="S7">
        <f ca="1">IFERROR(IF(0=LEN(ReferenceData!$S$7),"",ReferenceData!$S$7),"")</f>
        <v>38843</v>
      </c>
      <c r="T7">
        <f ca="1">IFERROR(IF(0=LEN(ReferenceData!$T$7),"",ReferenceData!$T$7),"")</f>
        <v>38180</v>
      </c>
      <c r="U7">
        <f ca="1">IFERROR(IF(0=LEN(ReferenceData!$U$7),"",ReferenceData!$U$7),"")</f>
        <v>35712</v>
      </c>
      <c r="V7">
        <f ca="1">IFERROR(IF(0=LEN(ReferenceData!$V$7),"",ReferenceData!$V$7),"")</f>
        <v>39617</v>
      </c>
      <c r="W7">
        <f ca="1">IFERROR(IF(0=LEN(ReferenceData!$W$7),"",ReferenceData!$W$7),"")</f>
        <v>39255</v>
      </c>
      <c r="X7">
        <f ca="1">IFERROR(IF(0=LEN(ReferenceData!$X$7),"",ReferenceData!$X$7),"")</f>
        <v>39649</v>
      </c>
      <c r="Y7">
        <f ca="1">IFERROR(IF(0=LEN(ReferenceData!$Y$7),"",ReferenceData!$Y$7),"")</f>
        <v>37408</v>
      </c>
      <c r="Z7">
        <f ca="1">IFERROR(IF(0=LEN(ReferenceData!$Z$7),"",ReferenceData!$Z$7),"")</f>
        <v>40485</v>
      </c>
      <c r="AA7">
        <f ca="1">IFERROR(IF(0=LEN(ReferenceData!$AA$7),"",ReferenceData!$AA$7),"")</f>
        <v>38983</v>
      </c>
      <c r="AB7">
        <f ca="1">IFERROR(IF(0=LEN(ReferenceData!$AB$7),"",ReferenceData!$AB$7),"")</f>
        <v>39075</v>
      </c>
      <c r="AC7">
        <f ca="1">IFERROR(IF(0=LEN(ReferenceData!$AC$7),"",ReferenceData!$AC$7),"")</f>
        <v>36884</v>
      </c>
      <c r="AD7">
        <f ca="1">IFERROR(IF(0=LEN(ReferenceData!$AD$7),"",ReferenceData!$AD$7),"")</f>
        <v>39307</v>
      </c>
      <c r="AE7">
        <f ca="1">IFERROR(IF(0=LEN(ReferenceData!$AE$7),"",ReferenceData!$AE$7),"")</f>
        <v>37576</v>
      </c>
      <c r="AF7">
        <f ca="1">IFERROR(IF(0=LEN(ReferenceData!$AF$7),"",ReferenceData!$AF$7),"")</f>
        <v>37614</v>
      </c>
      <c r="AG7">
        <f ca="1">IFERROR(IF(0=LEN(ReferenceData!$AG$7),"",ReferenceData!$AG$7),"")</f>
        <v>37759</v>
      </c>
      <c r="AH7">
        <f ca="1">IFERROR(IF(0=LEN(ReferenceData!$AH$7),"",ReferenceData!$AH$7),"")</f>
        <v>37990</v>
      </c>
      <c r="AI7">
        <f ca="1">IFERROR(IF(0=LEN(ReferenceData!$AI$7),"",ReferenceData!$AI$7),"")</f>
        <v>36719</v>
      </c>
      <c r="AJ7">
        <f ca="1">IFERROR(IF(0=LEN(ReferenceData!$AJ$7),"",ReferenceData!$AJ$7),"")</f>
        <v>39373</v>
      </c>
      <c r="AK7">
        <f ca="1">IFERROR(IF(0=LEN(ReferenceData!$AK$7),"",ReferenceData!$AK$7),"")</f>
        <v>36194</v>
      </c>
      <c r="AL7">
        <f ca="1">IFERROR(IF(0=LEN(ReferenceData!$AL$7),"",ReferenceData!$AL$7),"")</f>
        <v>36882</v>
      </c>
      <c r="AM7">
        <f ca="1">IFERROR(IF(0=LEN(ReferenceData!$AM$7),"",ReferenceData!$AM$7),"")</f>
        <v>34060</v>
      </c>
      <c r="AN7">
        <f ca="1">IFERROR(IF(0=LEN(ReferenceData!$AN$7),"",ReferenceData!$AN$7),"")</f>
        <v>33174</v>
      </c>
      <c r="AO7">
        <f ca="1">IFERROR(IF(0=LEN(ReferenceData!$AO$7),"",ReferenceData!$AO$7),"")</f>
        <v>31476</v>
      </c>
      <c r="AP7">
        <f ca="1">IFERROR(IF(0=LEN(ReferenceData!$AP$7),"",ReferenceData!$AP$7),"")</f>
        <v>32327</v>
      </c>
      <c r="AQ7">
        <f ca="1">IFERROR(IF(0=LEN(ReferenceData!$AQ$7),"",ReferenceData!$AQ$7),"")</f>
        <v>26784</v>
      </c>
      <c r="AR7">
        <f ca="1">IFERROR(IF(0=LEN(ReferenceData!$AR$7),"",ReferenceData!$AR$7),"")</f>
        <v>23047</v>
      </c>
      <c r="AS7">
        <f ca="1">IFERROR(IF(0=LEN(ReferenceData!$AS$7),"",ReferenceData!$AS$7),"")</f>
        <v>22431</v>
      </c>
      <c r="AT7" t="str">
        <f ca="1">IFERROR(IF(0=LEN(ReferenceData!$AT$7),"",ReferenceData!$AT$7),"")</f>
        <v/>
      </c>
      <c r="AU7" t="str">
        <f ca="1">IFERROR(IF(0=LEN(ReferenceData!$AU$7),"",ReferenceData!$AU$7),"")</f>
        <v/>
      </c>
      <c r="AV7" t="str">
        <f ca="1">IFERROR(IF(0=LEN(ReferenceData!$AV$7),"",ReferenceData!$AV$7),"")</f>
        <v/>
      </c>
      <c r="AW7" t="str">
        <f ca="1">IFERROR(IF(0=LEN(ReferenceData!$AW$7),"",ReferenceData!$AW$7),"")</f>
        <v/>
      </c>
      <c r="AX7" t="str">
        <f ca="1">IFERROR(IF(0=LEN(ReferenceData!$AX$7),"",ReferenceData!$AX$7),"")</f>
        <v/>
      </c>
      <c r="AY7" t="str">
        <f ca="1">IFERROR(IF(0=LEN(ReferenceData!$AY$7),"",ReferenceData!$AY$7),"")</f>
        <v/>
      </c>
      <c r="AZ7" t="str">
        <f ca="1">IFERROR(IF(0=LEN(ReferenceData!$AZ$7),"",ReferenceData!$AZ$7),"")</f>
        <v/>
      </c>
      <c r="BA7" t="str">
        <f ca="1">IFERROR(IF(0=LEN(ReferenceData!$BA$7),"",ReferenceData!$BA$7),"")</f>
        <v/>
      </c>
      <c r="BB7" t="str">
        <f ca="1">IFERROR(IF(0=LEN(ReferenceData!$BB$7),"",ReferenceData!$BB$7),"")</f>
        <v/>
      </c>
      <c r="BC7" t="str">
        <f ca="1">IFERROR(IF(0=LEN(ReferenceData!$BC$7),"",ReferenceData!$BC$7),"")</f>
        <v/>
      </c>
      <c r="BD7" t="str">
        <f ca="1">IFERROR(IF(0=LEN(ReferenceData!$BD$7),"",ReferenceData!$BD$7),"")</f>
        <v/>
      </c>
      <c r="BE7" t="str">
        <f ca="1">IFERROR(IF(0=LEN(ReferenceData!$BE$7),"",ReferenceData!$BE$7),"")</f>
        <v/>
      </c>
      <c r="BF7" t="str">
        <f ca="1">IFERROR(IF(0=LEN(ReferenceData!$BF$7),"",ReferenceData!$BF$7),"")</f>
        <v/>
      </c>
      <c r="BG7" t="str">
        <f ca="1">IFERROR(IF(0=LEN(ReferenceData!$BG$7),"",ReferenceData!$BG$7),"")</f>
        <v/>
      </c>
      <c r="BH7" t="str">
        <f ca="1">IFERROR(IF(0=LEN(ReferenceData!$BH$7),"",ReferenceData!$BH$7),"")</f>
        <v/>
      </c>
      <c r="BI7" t="str">
        <f ca="1">IFERROR(IF(0=LEN(ReferenceData!$BI$7),"",ReferenceData!$BI$7),"")</f>
        <v/>
      </c>
      <c r="BJ7" t="str">
        <f ca="1">IFERROR(IF(0=LEN(ReferenceData!$BJ$7),"",ReferenceData!$BJ$7),"")</f>
        <v/>
      </c>
      <c r="BK7" t="str">
        <f ca="1">IFERROR(IF(0=LEN(ReferenceData!$BK$7),"",ReferenceData!$BK$7),"")</f>
        <v/>
      </c>
      <c r="BL7" t="str">
        <f ca="1">IFERROR(IF(0=LEN(ReferenceData!$BL$7),"",ReferenceData!$BL$7),"")</f>
        <v/>
      </c>
    </row>
    <row r="8" spans="1:64" x14ac:dyDescent="0.25">
      <c r="A8" t="str">
        <f>IFERROR(IF(0=LEN(ReferenceData!$A$8),"",ReferenceData!$A$8),"")</f>
        <v xml:space="preserve">        GMNA(North America)</v>
      </c>
      <c r="B8" t="str">
        <f>IFERROR(IF(0=LEN(ReferenceData!$B$8),"",ReferenceData!$B$8),"")</f>
        <v>GM US Equity</v>
      </c>
      <c r="C8" t="str">
        <f>IFERROR(IF(0=LEN(ReferenceData!$C$8),"",ReferenceData!$C$8),"")</f>
        <v>BI047</v>
      </c>
      <c r="D8" t="str">
        <f>IFERROR(IF(0=LEN(ReferenceData!$D$8),"",ReferenceData!$D$8),"")</f>
        <v>BICS_SEGMENT_DATA</v>
      </c>
      <c r="E8" t="str">
        <f>IFERROR(IF(0=LEN(ReferenceData!$E$8),"",ReferenceData!$E$8),"")</f>
        <v>Dynamic</v>
      </c>
      <c r="F8">
        <f ca="1">IFERROR(IF(0=LEN(ReferenceData!$F$8),"",ReferenceData!$F$8),"")</f>
        <v>29823</v>
      </c>
      <c r="G8">
        <f ca="1">IFERROR(IF(0=LEN(ReferenceData!$G$8),"",ReferenceData!$G$8),"")</f>
        <v>27650</v>
      </c>
      <c r="H8">
        <f ca="1">IFERROR(IF(0=LEN(ReferenceData!$H$8),"",ReferenceData!$H$8),"")</f>
        <v>28501</v>
      </c>
      <c r="I8">
        <f ca="1">IFERROR(IF(0=LEN(ReferenceData!$I$8),"",ReferenceData!$I$8),"")</f>
        <v>27818</v>
      </c>
      <c r="J8">
        <f ca="1">IFERROR(IF(0=LEN(ReferenceData!$J$8),"",ReferenceData!$J$8),"")</f>
        <v>28751</v>
      </c>
      <c r="K8">
        <f ca="1">IFERROR(IF(0=LEN(ReferenceData!$K$8),"",ReferenceData!$K$8),"")</f>
        <v>24819</v>
      </c>
      <c r="L8">
        <f ca="1">IFERROR(IF(0=LEN(ReferenceData!$L$8),"",ReferenceData!$L$8),"")</f>
        <v>28437</v>
      </c>
      <c r="M8">
        <f ca="1">IFERROR(IF(0=LEN(ReferenceData!$M$8),"",ReferenceData!$M$8),"")</f>
        <v>29338</v>
      </c>
      <c r="N8">
        <f ca="1">IFERROR(IF(0=LEN(ReferenceData!$N$8),"",ReferenceData!$N$8),"")</f>
        <v>31298</v>
      </c>
      <c r="O8">
        <f ca="1">IFERROR(IF(0=LEN(ReferenceData!$O$8),"",ReferenceData!$O$8),"")</f>
        <v>31078</v>
      </c>
      <c r="P8">
        <f ca="1">IFERROR(IF(0=LEN(ReferenceData!$P$8),"",ReferenceData!$P$8),"")</f>
        <v>30222</v>
      </c>
      <c r="Q8">
        <f ca="1">IFERROR(IF(0=LEN(ReferenceData!$Q$8),"",ReferenceData!$Q$8),"")</f>
        <v>26463</v>
      </c>
      <c r="R8">
        <f ca="1">IFERROR(IF(0=LEN(ReferenceData!$R$8),"",ReferenceData!$R$8),"")</f>
        <v>27671</v>
      </c>
      <c r="S8">
        <f ca="1">IFERROR(IF(0=LEN(ReferenceData!$S$8),"",ReferenceData!$S$8),"")</f>
        <v>27794</v>
      </c>
      <c r="T8">
        <f ca="1">IFERROR(IF(0=LEN(ReferenceData!$T$8),"",ReferenceData!$T$8),"")</f>
        <v>26481</v>
      </c>
      <c r="U8">
        <f ca="1">IFERROR(IF(0=LEN(ReferenceData!$U$8),"",ReferenceData!$U$8),"")</f>
        <v>24676</v>
      </c>
      <c r="V8">
        <f ca="1">IFERROR(IF(0=LEN(ReferenceData!$V$8),"",ReferenceData!$V$8),"")</f>
        <v>25308</v>
      </c>
      <c r="W8">
        <f ca="1">IFERROR(IF(0=LEN(ReferenceData!$W$8),"",ReferenceData!$W$8),"")</f>
        <v>25816</v>
      </c>
      <c r="X8">
        <f ca="1">IFERROR(IF(0=LEN(ReferenceData!$X$8),"",ReferenceData!$X$8),"")</f>
        <v>25671</v>
      </c>
      <c r="Y8">
        <f ca="1">IFERROR(IF(0=LEN(ReferenceData!$Y$8),"",ReferenceData!$Y$8),"")</f>
        <v>24404</v>
      </c>
      <c r="Z8">
        <f ca="1">IFERROR(IF(0=LEN(ReferenceData!$Z$8),"",ReferenceData!$Z$8),"")</f>
        <v>25125</v>
      </c>
      <c r="AA8">
        <f ca="1">IFERROR(IF(0=LEN(ReferenceData!$AA$8),"",ReferenceData!$AA$8),"")</f>
        <v>23506</v>
      </c>
      <c r="AB8">
        <f ca="1">IFERROR(IF(0=LEN(ReferenceData!$AB$8),"",ReferenceData!$AB$8),"")</f>
        <v>23489</v>
      </c>
      <c r="AC8">
        <f ca="1">IFERROR(IF(0=LEN(ReferenceData!$AC$8),"",ReferenceData!$AC$8),"")</f>
        <v>22979</v>
      </c>
      <c r="AD8">
        <f ca="1">IFERROR(IF(0=LEN(ReferenceData!$AD$8),"",ReferenceData!$AD$8),"")</f>
        <v>22836</v>
      </c>
      <c r="AE8">
        <f ca="1">IFERROR(IF(0=LEN(ReferenceData!$AE$8),"",ReferenceData!$AE$8),"")</f>
        <v>22347</v>
      </c>
      <c r="AF8">
        <f ca="1">IFERROR(IF(0=LEN(ReferenceData!$AF$8),"",ReferenceData!$AF$8),"")</f>
        <v>21553</v>
      </c>
      <c r="AG8">
        <f ca="1">IFERROR(IF(0=LEN(ReferenceData!$AG$8),"",ReferenceData!$AG$8),"")</f>
        <v>23175</v>
      </c>
      <c r="AH8">
        <f ca="1">IFERROR(IF(0=LEN(ReferenceData!$AH$8),"",ReferenceData!$AH$8),"")</f>
        <v>25639</v>
      </c>
      <c r="AI8">
        <f ca="1">IFERROR(IF(0=LEN(ReferenceData!$AI$8),"",ReferenceData!$AI$8),"")</f>
        <v>21002</v>
      </c>
      <c r="AJ8">
        <f ca="1">IFERROR(IF(0=LEN(ReferenceData!$AJ$8),"",ReferenceData!$AJ$8),"")</f>
        <v>22097</v>
      </c>
      <c r="AK8">
        <f ca="1">IFERROR(IF(0=LEN(ReferenceData!$AK$8),"",ReferenceData!$AK$8),"")</f>
        <v>21283</v>
      </c>
      <c r="AL8">
        <f ca="1">IFERROR(IF(0=LEN(ReferenceData!$AL$8),"",ReferenceData!$AL$8),"")</f>
        <v>24290</v>
      </c>
      <c r="AM8">
        <f ca="1">IFERROR(IF(0=LEN(ReferenceData!$AM$8),"",ReferenceData!$AM$8),"")</f>
        <v>20676</v>
      </c>
      <c r="AN8">
        <f ca="1">IFERROR(IF(0=LEN(ReferenceData!$AN$8),"",ReferenceData!$AN$8),"")</f>
        <v>19457</v>
      </c>
      <c r="AO8">
        <f ca="1">IFERROR(IF(0=LEN(ReferenceData!$AO$8),"",ReferenceData!$AO$8),"")</f>
        <v>18508</v>
      </c>
      <c r="AP8">
        <f ca="1">IFERROR(IF(0=LEN(ReferenceData!$AP$8),"",ReferenceData!$AP$8),"")</f>
        <v>17668</v>
      </c>
      <c r="AQ8">
        <f ca="1">IFERROR(IF(0=LEN(ReferenceData!$AQ$8),"",ReferenceData!$AQ$8),"")</f>
        <v>14372</v>
      </c>
      <c r="AR8">
        <f ca="1">IFERROR(IF(0=LEN(ReferenceData!$AR$8),"",ReferenceData!$AR$8),"")</f>
        <v>11177</v>
      </c>
      <c r="AS8">
        <f ca="1">IFERROR(IF(0=LEN(ReferenceData!$AS$8),"",ReferenceData!$AS$8),"")</f>
        <v>11812</v>
      </c>
      <c r="AT8" t="str">
        <f ca="1">IFERROR(IF(0=LEN(ReferenceData!$AT$8),"",ReferenceData!$AT$8),"")</f>
        <v/>
      </c>
      <c r="AU8" t="str">
        <f ca="1">IFERROR(IF(0=LEN(ReferenceData!$AU$8),"",ReferenceData!$AU$8),"")</f>
        <v/>
      </c>
      <c r="AV8" t="str">
        <f ca="1">IFERROR(IF(0=LEN(ReferenceData!$AV$8),"",ReferenceData!$AV$8),"")</f>
        <v/>
      </c>
      <c r="AW8" t="str">
        <f ca="1">IFERROR(IF(0=LEN(ReferenceData!$AW$8),"",ReferenceData!$AW$8),"")</f>
        <v/>
      </c>
      <c r="AX8" t="str">
        <f ca="1">IFERROR(IF(0=LEN(ReferenceData!$AX$8),"",ReferenceData!$AX$8),"")</f>
        <v/>
      </c>
      <c r="AY8" t="str">
        <f ca="1">IFERROR(IF(0=LEN(ReferenceData!$AY$8),"",ReferenceData!$AY$8),"")</f>
        <v/>
      </c>
      <c r="AZ8" t="str">
        <f ca="1">IFERROR(IF(0=LEN(ReferenceData!$AZ$8),"",ReferenceData!$AZ$8),"")</f>
        <v/>
      </c>
      <c r="BA8" t="str">
        <f ca="1">IFERROR(IF(0=LEN(ReferenceData!$BA$8),"",ReferenceData!$BA$8),"")</f>
        <v/>
      </c>
      <c r="BB8" t="str">
        <f ca="1">IFERROR(IF(0=LEN(ReferenceData!$BB$8),"",ReferenceData!$BB$8),"")</f>
        <v/>
      </c>
      <c r="BC8" t="str">
        <f ca="1">IFERROR(IF(0=LEN(ReferenceData!$BC$8),"",ReferenceData!$BC$8),"")</f>
        <v/>
      </c>
      <c r="BD8" t="str">
        <f ca="1">IFERROR(IF(0=LEN(ReferenceData!$BD$8),"",ReferenceData!$BD$8),"")</f>
        <v/>
      </c>
      <c r="BE8" t="str">
        <f ca="1">IFERROR(IF(0=LEN(ReferenceData!$BE$8),"",ReferenceData!$BE$8),"")</f>
        <v/>
      </c>
      <c r="BF8" t="str">
        <f ca="1">IFERROR(IF(0=LEN(ReferenceData!$BF$8),"",ReferenceData!$BF$8),"")</f>
        <v/>
      </c>
      <c r="BG8" t="str">
        <f ca="1">IFERROR(IF(0=LEN(ReferenceData!$BG$8),"",ReferenceData!$BG$8),"")</f>
        <v/>
      </c>
      <c r="BH8" t="str">
        <f ca="1">IFERROR(IF(0=LEN(ReferenceData!$BH$8),"",ReferenceData!$BH$8),"")</f>
        <v/>
      </c>
      <c r="BI8" t="str">
        <f ca="1">IFERROR(IF(0=LEN(ReferenceData!$BI$8),"",ReferenceData!$BI$8),"")</f>
        <v/>
      </c>
      <c r="BJ8" t="str">
        <f ca="1">IFERROR(IF(0=LEN(ReferenceData!$BJ$8),"",ReferenceData!$BJ$8),"")</f>
        <v/>
      </c>
      <c r="BK8" t="str">
        <f ca="1">IFERROR(IF(0=LEN(ReferenceData!$BK$8),"",ReferenceData!$BK$8),"")</f>
        <v/>
      </c>
      <c r="BL8" t="str">
        <f ca="1">IFERROR(IF(0=LEN(ReferenceData!$BL$8),"",ReferenceData!$BL$8),"")</f>
        <v/>
      </c>
    </row>
    <row r="9" spans="1:64" x14ac:dyDescent="0.25">
      <c r="A9" t="str">
        <f>IFERROR(IF(0=LEN(ReferenceData!$A$9),"",ReferenceData!$A$9),"")</f>
        <v>By Geography ($M) - Daimler AG</v>
      </c>
      <c r="B9" t="str">
        <f>IFERROR(IF(0=LEN(ReferenceData!$B$9),"",ReferenceData!$B$9),"")</f>
        <v>DAI GR Equity</v>
      </c>
      <c r="C9" t="str">
        <f>IFERROR(IF(0=LEN(ReferenceData!$C$9),"",ReferenceData!$C$9),"")</f>
        <v>IS010</v>
      </c>
      <c r="D9" t="str">
        <f>IFERROR(IF(0=LEN(ReferenceData!$D$9),"",ReferenceData!$D$9),"")</f>
        <v>SALES_REV_TURN</v>
      </c>
      <c r="E9" t="str">
        <f>IFERROR(IF(0=LEN(ReferenceData!$E$9),"",ReferenceData!$E$9),"")</f>
        <v>Dynamic</v>
      </c>
      <c r="F9">
        <f ca="1">IFERROR(IF(0=LEN(ReferenceData!$F$9),"",ReferenceData!$F$9),"")</f>
        <v>53186.094019999997</v>
      </c>
      <c r="G9">
        <f ca="1">IFERROR(IF(0=LEN(ReferenceData!$G$9),"",ReferenceData!$G$9),"")</f>
        <v>46760.181040000003</v>
      </c>
      <c r="H9">
        <f ca="1">IFERROR(IF(0=LEN(ReferenceData!$H$9),"",ReferenceData!$H$9),"")</f>
        <v>48588.898780000003</v>
      </c>
      <c r="I9">
        <f ca="1">IFERROR(IF(0=LEN(ReferenceData!$I$9),"",ReferenceData!$I$9),"")</f>
        <v>48894.375590000003</v>
      </c>
      <c r="J9">
        <f ca="1">IFERROR(IF(0=LEN(ReferenceData!$J$9),"",ReferenceData!$J$9),"")</f>
        <v>51364.673970000003</v>
      </c>
      <c r="K9">
        <f ca="1">IFERROR(IF(0=LEN(ReferenceData!$K$9),"",ReferenceData!$K$9),"")</f>
        <v>47872.312859999998</v>
      </c>
      <c r="L9">
        <f ca="1">IFERROR(IF(0=LEN(ReferenceData!$L$9),"",ReferenceData!$L$9),"")</f>
        <v>45378.183299999997</v>
      </c>
      <c r="M9">
        <f ca="1">IFERROR(IF(0=LEN(ReferenceData!$M$9),"",ReferenceData!$M$9),"")</f>
        <v>41096.949860000001</v>
      </c>
      <c r="N9">
        <f ca="1">IFERROR(IF(0=LEN(ReferenceData!$N$9),"",ReferenceData!$N$9),"")</f>
        <v>44198.018279999997</v>
      </c>
      <c r="O9">
        <f ca="1">IFERROR(IF(0=LEN(ReferenceData!$O$9),"",ReferenceData!$O$9),"")</f>
        <v>43081.687769999997</v>
      </c>
      <c r="P9">
        <f ca="1">IFERROR(IF(0=LEN(ReferenceData!$P$9),"",ReferenceData!$P$9),"")</f>
        <v>43619.080049999997</v>
      </c>
      <c r="Q9">
        <f ca="1">IFERROR(IF(0=LEN(ReferenceData!$Q$9),"",ReferenceData!$Q$9),"")</f>
        <v>38672.404560000003</v>
      </c>
      <c r="R9">
        <f ca="1">IFERROR(IF(0=LEN(ReferenceData!$R$9),"",ReferenceData!$R$9),"")</f>
        <v>44275.11623</v>
      </c>
      <c r="S9">
        <f ca="1">IFERROR(IF(0=LEN(ReferenceData!$S$9),"",ReferenceData!$S$9),"")</f>
        <v>41449.734420000001</v>
      </c>
      <c r="T9">
        <f ca="1">IFERROR(IF(0=LEN(ReferenceData!$T$9),"",ReferenceData!$T$9),"")</f>
        <v>41536.604070000001</v>
      </c>
      <c r="U9">
        <f ca="1">IFERROR(IF(0=LEN(ReferenceData!$U$9),"",ReferenceData!$U$9),"")</f>
        <v>38566.174630000001</v>
      </c>
      <c r="V9">
        <f ca="1">IFERROR(IF(0=LEN(ReferenceData!$V$9),"",ReferenceData!$V$9),"")</f>
        <v>44640.775650000003</v>
      </c>
      <c r="W9">
        <f ca="1">IFERROR(IF(0=LEN(ReferenceData!$W$9),"",ReferenceData!$W$9),"")</f>
        <v>43896.393389999997</v>
      </c>
      <c r="X9">
        <f ca="1">IFERROR(IF(0=LEN(ReferenceData!$X$9),"",ReferenceData!$X$9),"")</f>
        <v>43260.870790000001</v>
      </c>
      <c r="Y9">
        <f ca="1">IFERROR(IF(0=LEN(ReferenceData!$Y$9),"",ReferenceData!$Y$9),"")</f>
        <v>40367.776140000002</v>
      </c>
      <c r="Z9">
        <f ca="1">IFERROR(IF(0=LEN(ReferenceData!$Z$9),"",ReferenceData!$Z$9),"")</f>
        <v>43690.121579999999</v>
      </c>
      <c r="AA9">
        <f ca="1">IFERROR(IF(0=LEN(ReferenceData!$AA$9),"",ReferenceData!$AA$9),"")</f>
        <v>39871.16936</v>
      </c>
      <c r="AB9">
        <f ca="1">IFERROR(IF(0=LEN(ReferenceData!$AB$9),"",ReferenceData!$AB$9),"")</f>
        <v>38784.466959999998</v>
      </c>
      <c r="AC9">
        <f ca="1">IFERROR(IF(0=LEN(ReferenceData!$AC$9),"",ReferenceData!$AC$9),"")</f>
        <v>34460.992169999998</v>
      </c>
      <c r="AD9">
        <f ca="1">IFERROR(IF(0=LEN(ReferenceData!$AD$9),"",ReferenceData!$AD$9),"")</f>
        <v>38704.928950000001</v>
      </c>
      <c r="AE9">
        <f ca="1">IFERROR(IF(0=LEN(ReferenceData!$AE$9),"",ReferenceData!$AE$9),"")</f>
        <v>35743.62255</v>
      </c>
      <c r="AF9">
        <f ca="1">IFERROR(IF(0=LEN(ReferenceData!$AF$9),"",ReferenceData!$AF$9),"")</f>
        <v>37064.064339999997</v>
      </c>
      <c r="AG9">
        <f ca="1">IFERROR(IF(0=LEN(ReferenceData!$AG$9),"",ReferenceData!$AG$9),"")</f>
        <v>35427.15595</v>
      </c>
      <c r="AH9">
        <f ca="1">IFERROR(IF(0=LEN(ReferenceData!$AH$9),"",ReferenceData!$AH$9),"")</f>
        <v>39166.443939999997</v>
      </c>
      <c r="AI9">
        <f ca="1">IFERROR(IF(0=LEN(ReferenceData!$AI$9),"",ReferenceData!$AI$9),"")</f>
        <v>37305.583010000002</v>
      </c>
      <c r="AJ9">
        <f ca="1">IFERROR(IF(0=LEN(ReferenceData!$AJ$9),"",ReferenceData!$AJ$9),"")</f>
        <v>37915.79176</v>
      </c>
      <c r="AK9">
        <f ca="1">IFERROR(IF(0=LEN(ReferenceData!$AK$9),"",ReferenceData!$AK$9),"")</f>
        <v>33857.389649999997</v>
      </c>
      <c r="AL9">
        <f ca="1">IFERROR(IF(0=LEN(ReferenceData!$AL$9),"",ReferenceData!$AL$9),"")</f>
        <v>35833.651839999999</v>
      </c>
      <c r="AM9">
        <f ca="1">IFERROR(IF(0=LEN(ReferenceData!$AM$9),"",ReferenceData!$AM$9),"")</f>
        <v>32408.402320000001</v>
      </c>
      <c r="AN9">
        <f ca="1">IFERROR(IF(0=LEN(ReferenceData!$AN$9),"",ReferenceData!$AN$9),"")</f>
        <v>31968.032380000001</v>
      </c>
      <c r="AO9">
        <f ca="1">IFERROR(IF(0=LEN(ReferenceData!$AO$9),"",ReferenceData!$AO$9),"")</f>
        <v>29320.575089999998</v>
      </c>
      <c r="AP9">
        <f ca="1">IFERROR(IF(0=LEN(ReferenceData!$AP$9),"",ReferenceData!$AP$9),"")</f>
        <v>31475.169450000001</v>
      </c>
      <c r="AQ9">
        <f ca="1">IFERROR(IF(0=LEN(ReferenceData!$AQ$9),"",ReferenceData!$AQ$9),"")</f>
        <v>27623.686440000001</v>
      </c>
      <c r="AR9">
        <f ca="1">IFERROR(IF(0=LEN(ReferenceData!$AR$9),"",ReferenceData!$AR$9),"")</f>
        <v>26728.102559999999</v>
      </c>
      <c r="AS9">
        <f ca="1">IFERROR(IF(0=LEN(ReferenceData!$AS$9),"",ReferenceData!$AS$9),"")</f>
        <v>24377.29162</v>
      </c>
      <c r="AT9">
        <f ca="1">IFERROR(IF(0=LEN(ReferenceData!$AT$9),"",ReferenceData!$AT$9),"")</f>
        <v>30684.154050000001</v>
      </c>
      <c r="AU9">
        <f ca="1">IFERROR(IF(0=LEN(ReferenceData!$AU$9),"",ReferenceData!$AU$9),"")</f>
        <v>35773.842790000002</v>
      </c>
      <c r="AV9">
        <f ca="1">IFERROR(IF(0=LEN(ReferenceData!$AV$9),"",ReferenceData!$AV$9),"")</f>
        <v>39661.70233</v>
      </c>
      <c r="AW9">
        <f ca="1">IFERROR(IF(0=LEN(ReferenceData!$AW$9),"",ReferenceData!$AW$9),"")</f>
        <v>35161.653919999997</v>
      </c>
      <c r="AX9">
        <f ca="1">IFERROR(IF(0=LEN(ReferenceData!$AX$9),"",ReferenceData!$AX$9),"")</f>
        <v>21015.497490000002</v>
      </c>
      <c r="AY9">
        <f ca="1">IFERROR(IF(0=LEN(ReferenceData!$AY$9),"",ReferenceData!$AY$9),"")</f>
        <v>35301.298170000002</v>
      </c>
      <c r="AZ9">
        <f ca="1">IFERROR(IF(0=LEN(ReferenceData!$AZ$9),"",ReferenceData!$AZ$9),"")</f>
        <v>32149.33108</v>
      </c>
      <c r="BA9">
        <f ca="1">IFERROR(IF(0=LEN(ReferenceData!$BA$9),"",ReferenceData!$BA$9),"")</f>
        <v>30634.07373</v>
      </c>
      <c r="BB9">
        <f ca="1">IFERROR(IF(0=LEN(ReferenceData!$BB$9),"",ReferenceData!$BB$9),"")</f>
        <v>16692.544809999999</v>
      </c>
      <c r="BC9">
        <f ca="1">IFERROR(IF(0=LEN(ReferenceData!$BC$9),"",ReferenceData!$BC$9),"")</f>
        <v>30884.598139999998</v>
      </c>
      <c r="BD9">
        <f ca="1">IFERROR(IF(0=LEN(ReferenceData!$BD$9),"",ReferenceData!$BD$9),"")</f>
        <v>30953.763279999999</v>
      </c>
      <c r="BE9">
        <f ca="1">IFERROR(IF(0=LEN(ReferenceData!$BE$9),"",ReferenceData!$BE$9),"")</f>
        <v>45050.518179999999</v>
      </c>
      <c r="BF9">
        <f ca="1">IFERROR(IF(0=LEN(ReferenceData!$BF$9),"",ReferenceData!$BF$9),"")</f>
        <v>49275.763930000001</v>
      </c>
      <c r="BG9">
        <f ca="1">IFERROR(IF(0=LEN(ReferenceData!$BG$9),"",ReferenceData!$BG$9),"")</f>
        <v>46538.910880000003</v>
      </c>
      <c r="BH9">
        <f ca="1">IFERROR(IF(0=LEN(ReferenceData!$BH$9),"",ReferenceData!$BH$9),"")</f>
        <v>48367.670420000002</v>
      </c>
      <c r="BI9">
        <f ca="1">IFERROR(IF(0=LEN(ReferenceData!$BI$9),"",ReferenceData!$BI$9),"")</f>
        <v>41617.5</v>
      </c>
      <c r="BJ9">
        <f ca="1">IFERROR(IF(0=LEN(ReferenceData!$BJ$9),"",ReferenceData!$BJ$9),"")</f>
        <v>49002.903769999997</v>
      </c>
      <c r="BK9">
        <f ca="1">IFERROR(IF(0=LEN(ReferenceData!$BK$9),"",ReferenceData!$BK$9),"")</f>
        <v>42662.838089999997</v>
      </c>
      <c r="BL9">
        <f ca="1">IFERROR(IF(0=LEN(ReferenceData!$BL$9),"",ReferenceData!$BL$9),"")</f>
        <v>44673.442499999997</v>
      </c>
    </row>
    <row r="10" spans="1:64" x14ac:dyDescent="0.25">
      <c r="A10" t="str">
        <f>IFERROR(IF(0=LEN(ReferenceData!$A$10),"",ReferenceData!$A$10),"")</f>
        <v xml:space="preserve">        NAFTA - USA</v>
      </c>
      <c r="B10" t="str">
        <f>IFERROR(IF(0=LEN(ReferenceData!$B$10),"",ReferenceData!$B$10),"")</f>
        <v>DAI GR Equity</v>
      </c>
      <c r="C10" t="str">
        <f>IFERROR(IF(0=LEN(ReferenceData!$C$10),"",ReferenceData!$C$10),"")</f>
        <v>BI047</v>
      </c>
      <c r="D10" t="str">
        <f>IFERROR(IF(0=LEN(ReferenceData!$D$10),"",ReferenceData!$D$10),"")</f>
        <v>BICS_SEGMENT_DATA</v>
      </c>
      <c r="E10" t="str">
        <f>IFERROR(IF(0=LEN(ReferenceData!$E$10),"",ReferenceData!$E$10),"")</f>
        <v>Dynamic</v>
      </c>
      <c r="F10">
        <f ca="1">IFERROR(IF(0=LEN(ReferenceData!$F$10),"",ReferenceData!$F$10),"")</f>
        <v>14015.97925</v>
      </c>
      <c r="G10">
        <f ca="1">IFERROR(IF(0=LEN(ReferenceData!$G$10),"",ReferenceData!$G$10),"")</f>
        <v>11707.77903</v>
      </c>
      <c r="H10">
        <f ca="1">IFERROR(IF(0=LEN(ReferenceData!$H$10),"",ReferenceData!$H$10),"")</f>
        <v>11596.43288</v>
      </c>
      <c r="I10">
        <f ca="1">IFERROR(IF(0=LEN(ReferenceData!$I$10),"",ReferenceData!$I$10),"")</f>
        <v>11151.62911</v>
      </c>
      <c r="J10">
        <f ca="1">IFERROR(IF(0=LEN(ReferenceData!$J$10),"",ReferenceData!$J$10),"")</f>
        <v>12613.570680000001</v>
      </c>
      <c r="K10">
        <f ca="1">IFERROR(IF(0=LEN(ReferenceData!$K$10),"",ReferenceData!$K$10),"")</f>
        <v>11609.4324</v>
      </c>
      <c r="L10">
        <f ca="1">IFERROR(IF(0=LEN(ReferenceData!$L$10),"",ReferenceData!$L$10),"")</f>
        <v>11116.08042</v>
      </c>
      <c r="M10">
        <f ca="1">IFERROR(IF(0=LEN(ReferenceData!$M$10),"",ReferenceData!$M$10),"")</f>
        <v>10042.55983</v>
      </c>
      <c r="N10">
        <f ca="1">IFERROR(IF(0=LEN(ReferenceData!$N$10),"",ReferenceData!$N$10),"")</f>
        <v>10829.32835</v>
      </c>
      <c r="O10">
        <f ca="1">IFERROR(IF(0=LEN(ReferenceData!$O$10),"",ReferenceData!$O$10),"")</f>
        <v>10914.13175</v>
      </c>
      <c r="P10">
        <f ca="1">IFERROR(IF(0=LEN(ReferenceData!$P$10),"",ReferenceData!$P$10),"")</f>
        <v>11248.15618</v>
      </c>
      <c r="Q10">
        <f ca="1">IFERROR(IF(0=LEN(ReferenceData!$Q$10),"",ReferenceData!$Q$10),"")</f>
        <v>10358.029549999999</v>
      </c>
      <c r="R10">
        <f ca="1">IFERROR(IF(0=LEN(ReferenceData!$R$10),"",ReferenceData!$R$10),"")</f>
        <v>12046.756670000001</v>
      </c>
      <c r="S10">
        <f ca="1">IFERROR(IF(0=LEN(ReferenceData!$S$10),"",ReferenceData!$S$10),"")</f>
        <v>12028.16228</v>
      </c>
      <c r="T10">
        <f ca="1">IFERROR(IF(0=LEN(ReferenceData!$T$10),"",ReferenceData!$T$10),"")</f>
        <v>11733.67282</v>
      </c>
      <c r="U10">
        <f ca="1">IFERROR(IF(0=LEN(ReferenceData!$U$10),"",ReferenceData!$U$10),"")</f>
        <v>10703.81444</v>
      </c>
      <c r="V10">
        <f ca="1">IFERROR(IF(0=LEN(ReferenceData!$V$10),"",ReferenceData!$V$10),"")</f>
        <v>12061.463309999999</v>
      </c>
      <c r="W10">
        <f ca="1">IFERROR(IF(0=LEN(ReferenceData!$W$10),"",ReferenceData!$W$10),"")</f>
        <v>11091.38688</v>
      </c>
      <c r="X10">
        <f ca="1">IFERROR(IF(0=LEN(ReferenceData!$X$10),"",ReferenceData!$X$10),"")</f>
        <v>10882.418519999999</v>
      </c>
      <c r="Y10">
        <f ca="1">IFERROR(IF(0=LEN(ReferenceData!$Y$10),"",ReferenceData!$Y$10),"")</f>
        <v>10068.304690000001</v>
      </c>
      <c r="Z10">
        <f ca="1">IFERROR(IF(0=LEN(ReferenceData!$Z$10),"",ReferenceData!$Z$10),"")</f>
        <v>10414.33949</v>
      </c>
      <c r="AA10">
        <f ca="1">IFERROR(IF(0=LEN(ReferenceData!$AA$10),"",ReferenceData!$AA$10),"")</f>
        <v>9538.9312129999998</v>
      </c>
      <c r="AB10">
        <f ca="1">IFERROR(IF(0=LEN(ReferenceData!$AB$10),"",ReferenceData!$AB$10),"")</f>
        <v>9436.1777349999993</v>
      </c>
      <c r="AC10">
        <f ca="1">IFERROR(IF(0=LEN(ReferenceData!$AC$10),"",ReferenceData!$AC$10),"")</f>
        <v>8611.9474329999994</v>
      </c>
      <c r="AD10">
        <f ca="1">IFERROR(IF(0=LEN(ReferenceData!$AD$10),"",ReferenceData!$AD$10),"")</f>
        <v>9657.4182419999997</v>
      </c>
      <c r="AE10">
        <f ca="1">IFERROR(IF(0=LEN(ReferenceData!$AE$10),"",ReferenceData!$AE$10),"")</f>
        <v>8839.578501</v>
      </c>
      <c r="AF10">
        <f ca="1">IFERROR(IF(0=LEN(ReferenceData!$AF$10),"",ReferenceData!$AF$10),"")</f>
        <v>8292.0642480000006</v>
      </c>
      <c r="AG10">
        <f ca="1">IFERROR(IF(0=LEN(ReferenceData!$AG$10),"",ReferenceData!$AG$10),"")</f>
        <v>8213.1298559999996</v>
      </c>
      <c r="AH10">
        <f ca="1">IFERROR(IF(0=LEN(ReferenceData!$AH$10),"",ReferenceData!$AH$10),"")</f>
        <v>9274.8446179999992</v>
      </c>
      <c r="AI10">
        <f ca="1">IFERROR(IF(0=LEN(ReferenceData!$AI$10),"",ReferenceData!$AI$10),"")</f>
        <v>7405.4556039999998</v>
      </c>
      <c r="AJ10">
        <f ca="1">IFERROR(IF(0=LEN(ReferenceData!$AJ$10),"",ReferenceData!$AJ$10),"")</f>
        <v>7148.9794920000004</v>
      </c>
      <c r="AK10">
        <f ca="1">IFERROR(IF(0=LEN(ReferenceData!$AK$10),"",ReferenceData!$AK$10),"")</f>
        <v>7025.0421070000002</v>
      </c>
      <c r="AL10">
        <f ca="1">IFERROR(IF(0=LEN(ReferenceData!$AL$10),"",ReferenceData!$AL$10),"")</f>
        <v>7048.352793</v>
      </c>
      <c r="AM10">
        <f ca="1">IFERROR(IF(0=LEN(ReferenceData!$AM$10),"",ReferenceData!$AM$10),"")</f>
        <v>6926.0986640000001</v>
      </c>
      <c r="AN10">
        <f ca="1">IFERROR(IF(0=LEN(ReferenceData!$AN$10),"",ReferenceData!$AN$10),"")</f>
        <v>6343.4395709999999</v>
      </c>
      <c r="AO10">
        <f ca="1">IFERROR(IF(0=LEN(ReferenceData!$AO$10),"",ReferenceData!$AO$10),"")</f>
        <v>6482.1623499999996</v>
      </c>
      <c r="AP10">
        <f ca="1">IFERROR(IF(0=LEN(ReferenceData!$AP$10),"",ReferenceData!$AP$10),"")</f>
        <v>6409.2850799999997</v>
      </c>
      <c r="AQ10">
        <f ca="1">IFERROR(IF(0=LEN(ReferenceData!$AQ$10),"",ReferenceData!$AQ$10),"")</f>
        <v>5576.2366519999996</v>
      </c>
      <c r="AR10">
        <f ca="1">IFERROR(IF(0=LEN(ReferenceData!$AR$10),"",ReferenceData!$AR$10),"")</f>
        <v>5628.5469910000002</v>
      </c>
      <c r="AS10">
        <f ca="1">IFERROR(IF(0=LEN(ReferenceData!$AS$10),"",ReferenceData!$AS$10),"")</f>
        <v>5479.9639980000002</v>
      </c>
      <c r="AT10">
        <f ca="1">IFERROR(IF(0=LEN(ReferenceData!$AT$10),"",ReferenceData!$AT$10),"")</f>
        <v>5649.6340440000004</v>
      </c>
      <c r="AU10">
        <f ca="1">IFERROR(IF(0=LEN(ReferenceData!$AU$10),"",ReferenceData!$AU$10),"")</f>
        <v>6918.4411049999999</v>
      </c>
      <c r="AV10">
        <f ca="1">IFERROR(IF(0=LEN(ReferenceData!$AV$10),"",ReferenceData!$AV$10),"")</f>
        <v>6916.0308299999997</v>
      </c>
      <c r="AW10">
        <f ca="1">IFERROR(IF(0=LEN(ReferenceData!$AW$10),"",ReferenceData!$AW$10),"")</f>
        <v>6918.39833</v>
      </c>
      <c r="AX10">
        <f ca="1">IFERROR(IF(0=LEN(ReferenceData!$AX$10),"",ReferenceData!$AX$10),"")</f>
        <v>7538.1203509999996</v>
      </c>
      <c r="AY10">
        <f ca="1">IFERROR(IF(0=LEN(ReferenceData!$AY$10),"",ReferenceData!$AY$10),"")</f>
        <v>7059.9847129999998</v>
      </c>
      <c r="AZ10">
        <f ca="1">IFERROR(IF(0=LEN(ReferenceData!$AZ$10),"",ReferenceData!$AZ$10),"")</f>
        <v>5969.0105970000004</v>
      </c>
      <c r="BA10">
        <f ca="1">IFERROR(IF(0=LEN(ReferenceData!$BA$10),"",ReferenceData!$BA$10),"")</f>
        <v>7212.1811580000003</v>
      </c>
      <c r="BB10">
        <f ca="1">IFERROR(IF(0=LEN(ReferenceData!$BB$10),"",ReferenceData!$BB$10),"")</f>
        <v>10171.334290000001</v>
      </c>
      <c r="BC10">
        <f ca="1">IFERROR(IF(0=LEN(ReferenceData!$BC$10),"",ReferenceData!$BC$10),"")</f>
        <v>7934.6169840000002</v>
      </c>
      <c r="BD10">
        <f ca="1">IFERROR(IF(0=LEN(ReferenceData!$BD$10),"",ReferenceData!$BD$10),"")</f>
        <v>8082.5532620000004</v>
      </c>
      <c r="BE10">
        <f ca="1">IFERROR(IF(0=LEN(ReferenceData!$BE$10),"",ReferenceData!$BE$10),"")</f>
        <v>20319.896420000001</v>
      </c>
      <c r="BF10" t="str">
        <f ca="1">IFERROR(IF(0=LEN(ReferenceData!$BF$10),"",ReferenceData!$BF$10),"")</f>
        <v/>
      </c>
      <c r="BG10" t="str">
        <f ca="1">IFERROR(IF(0=LEN(ReferenceData!$BG$10),"",ReferenceData!$BG$10),"")</f>
        <v/>
      </c>
      <c r="BH10" t="str">
        <f ca="1">IFERROR(IF(0=LEN(ReferenceData!$BH$10),"",ReferenceData!$BH$10),"")</f>
        <v/>
      </c>
      <c r="BI10" t="str">
        <f ca="1">IFERROR(IF(0=LEN(ReferenceData!$BI$10),"",ReferenceData!$BI$10),"")</f>
        <v/>
      </c>
      <c r="BJ10" t="str">
        <f ca="1">IFERROR(IF(0=LEN(ReferenceData!$BJ$10),"",ReferenceData!$BJ$10),"")</f>
        <v/>
      </c>
      <c r="BK10" t="str">
        <f ca="1">IFERROR(IF(0=LEN(ReferenceData!$BK$10),"",ReferenceData!$BK$10),"")</f>
        <v/>
      </c>
      <c r="BL10" t="str">
        <f ca="1">IFERROR(IF(0=LEN(ReferenceData!$BL$10),"",ReferenceData!$BL$10),"")</f>
        <v/>
      </c>
    </row>
    <row r="11" spans="1:64" x14ac:dyDescent="0.25">
      <c r="A11" t="str">
        <f>IFERROR(IF(0=LEN(ReferenceData!$A$11),"",ReferenceData!$A$11),"")</f>
        <v>By Geography ($M) - Ford</v>
      </c>
      <c r="B11" t="str">
        <f>IFERROR(IF(0=LEN(ReferenceData!$B$11),"",ReferenceData!$B$11),"")</f>
        <v>F US Equity</v>
      </c>
      <c r="C11" t="str">
        <f>IFERROR(IF(0=LEN(ReferenceData!$C$11),"",ReferenceData!$C$11),"")</f>
        <v>IS010</v>
      </c>
      <c r="D11" t="str">
        <f>IFERROR(IF(0=LEN(ReferenceData!$D$11),"",ReferenceData!$D$11),"")</f>
        <v>SALES_REV_TURN</v>
      </c>
      <c r="E11" t="str">
        <f>IFERROR(IF(0=LEN(ReferenceData!$E$11),"",ReferenceData!$E$11),"")</f>
        <v>Dynamic</v>
      </c>
      <c r="F11">
        <f ca="1">IFERROR(IF(0=LEN(ReferenceData!$F$11),"",ReferenceData!$F$11),"")</f>
        <v>41793</v>
      </c>
      <c r="G11">
        <f ca="1">IFERROR(IF(0=LEN(ReferenceData!$G$11),"",ReferenceData!$G$11),"")</f>
        <v>37666</v>
      </c>
      <c r="H11">
        <f ca="1">IFERROR(IF(0=LEN(ReferenceData!$H$11),"",ReferenceData!$H$11),"")</f>
        <v>38920</v>
      </c>
      <c r="I11">
        <f ca="1">IFERROR(IF(0=LEN(ReferenceData!$I$11),"",ReferenceData!$I$11),"")</f>
        <v>41959</v>
      </c>
      <c r="J11">
        <f ca="1">IFERROR(IF(0=LEN(ReferenceData!$J$11),"",ReferenceData!$J$11),"")</f>
        <v>41326</v>
      </c>
      <c r="K11">
        <f ca="1">IFERROR(IF(0=LEN(ReferenceData!$K$11),"",ReferenceData!$K$11),"")</f>
        <v>36451</v>
      </c>
      <c r="L11">
        <f ca="1">IFERROR(IF(0=LEN(ReferenceData!$L$11),"",ReferenceData!$L$11),"")</f>
        <v>39853</v>
      </c>
      <c r="M11">
        <f ca="1">IFERROR(IF(0=LEN(ReferenceData!$M$11),"",ReferenceData!$M$11),"")</f>
        <v>39146</v>
      </c>
      <c r="N11">
        <f ca="1">IFERROR(IF(0=LEN(ReferenceData!$N$11),"",ReferenceData!$N$11),"")</f>
        <v>38654</v>
      </c>
      <c r="O11">
        <f ca="1">IFERROR(IF(0=LEN(ReferenceData!$O$11),"",ReferenceData!$O$11),"")</f>
        <v>35943</v>
      </c>
      <c r="P11">
        <f ca="1">IFERROR(IF(0=LEN(ReferenceData!$P$11),"",ReferenceData!$P$11),"")</f>
        <v>39485</v>
      </c>
      <c r="Q11">
        <f ca="1">IFERROR(IF(0=LEN(ReferenceData!$Q$11),"",ReferenceData!$Q$11),"")</f>
        <v>37718</v>
      </c>
      <c r="R11">
        <f ca="1">IFERROR(IF(0=LEN(ReferenceData!$R$11),"",ReferenceData!$R$11),"")</f>
        <v>40251</v>
      </c>
      <c r="S11">
        <f ca="1">IFERROR(IF(0=LEN(ReferenceData!$S$11),"",ReferenceData!$S$11),"")</f>
        <v>38144</v>
      </c>
      <c r="T11">
        <f ca="1">IFERROR(IF(0=LEN(ReferenceData!$T$11),"",ReferenceData!$T$11),"")</f>
        <v>37263</v>
      </c>
      <c r="U11">
        <f ca="1">IFERROR(IF(0=LEN(ReferenceData!$U$11),"",ReferenceData!$U$11),"")</f>
        <v>33900</v>
      </c>
      <c r="V11">
        <f ca="1">IFERROR(IF(0=LEN(ReferenceData!$V$11),"",ReferenceData!$V$11),"")</f>
        <v>35870</v>
      </c>
      <c r="W11">
        <f ca="1">IFERROR(IF(0=LEN(ReferenceData!$W$11),"",ReferenceData!$W$11),"")</f>
        <v>34920</v>
      </c>
      <c r="X11">
        <f ca="1">IFERROR(IF(0=LEN(ReferenceData!$X$11),"",ReferenceData!$X$11),"")</f>
        <v>37411</v>
      </c>
      <c r="Y11">
        <f ca="1">IFERROR(IF(0=LEN(ReferenceData!$Y$11),"",ReferenceData!$Y$11),"")</f>
        <v>35876</v>
      </c>
      <c r="Z11">
        <f ca="1">IFERROR(IF(0=LEN(ReferenceData!$Z$11),"",ReferenceData!$Z$11),"")</f>
        <v>37570</v>
      </c>
      <c r="AA11">
        <f ca="1">IFERROR(IF(0=LEN(ReferenceData!$AA$11),"",ReferenceData!$AA$11),"")</f>
        <v>35775</v>
      </c>
      <c r="AB11">
        <f ca="1">IFERROR(IF(0=LEN(ReferenceData!$AB$11),"",ReferenceData!$AB$11),"")</f>
        <v>37923</v>
      </c>
      <c r="AC11">
        <f ca="1">IFERROR(IF(0=LEN(ReferenceData!$AC$11),"",ReferenceData!$AC$11),"")</f>
        <v>35649</v>
      </c>
      <c r="AD11">
        <f ca="1">IFERROR(IF(0=LEN(ReferenceData!$AD$11),"",ReferenceData!$AD$11),"")</f>
        <v>35731</v>
      </c>
      <c r="AE11">
        <f ca="1">IFERROR(IF(0=LEN(ReferenceData!$AE$11),"",ReferenceData!$AE$11),"")</f>
        <v>32172</v>
      </c>
      <c r="AF11">
        <f ca="1">IFERROR(IF(0=LEN(ReferenceData!$AF$11),"",ReferenceData!$AF$11),"")</f>
        <v>33211</v>
      </c>
      <c r="AG11">
        <f ca="1">IFERROR(IF(0=LEN(ReferenceData!$AG$11),"",ReferenceData!$AG$11),"")</f>
        <v>32445</v>
      </c>
      <c r="AH11">
        <f ca="1">IFERROR(IF(0=LEN(ReferenceData!$AH$11),"",ReferenceData!$AH$11),"")</f>
        <v>34576</v>
      </c>
      <c r="AI11">
        <f ca="1">IFERROR(IF(0=LEN(ReferenceData!$AI$11),"",ReferenceData!$AI$11),"")</f>
        <v>33047</v>
      </c>
      <c r="AJ11">
        <f ca="1">IFERROR(IF(0=LEN(ReferenceData!$AJ$11),"",ReferenceData!$AJ$11),"")</f>
        <v>35527</v>
      </c>
      <c r="AK11">
        <f ca="1">IFERROR(IF(0=LEN(ReferenceData!$AK$11),"",ReferenceData!$AK$11),"")</f>
        <v>33114</v>
      </c>
      <c r="AL11">
        <f ca="1">IFERROR(IF(0=LEN(ReferenceData!$AL$11),"",ReferenceData!$AL$11),"")</f>
        <v>32428</v>
      </c>
      <c r="AM11">
        <f ca="1">IFERROR(IF(0=LEN(ReferenceData!$AM$11),"",ReferenceData!$AM$11),"")</f>
        <v>29893</v>
      </c>
      <c r="AN11">
        <f ca="1">IFERROR(IF(0=LEN(ReferenceData!$AN$11),"",ReferenceData!$AN$11),"")</f>
        <v>35067</v>
      </c>
      <c r="AO11">
        <f ca="1">IFERROR(IF(0=LEN(ReferenceData!$AO$11),"",ReferenceData!$AO$11),"")</f>
        <v>31566</v>
      </c>
      <c r="AP11">
        <f ca="1">IFERROR(IF(0=LEN(ReferenceData!$AP$11),"",ReferenceData!$AP$11),"")</f>
        <v>33424</v>
      </c>
      <c r="AQ11">
        <f ca="1">IFERROR(IF(0=LEN(ReferenceData!$AQ$11),"",ReferenceData!$AQ$11),"")</f>
        <v>30272</v>
      </c>
      <c r="AR11">
        <f ca="1">IFERROR(IF(0=LEN(ReferenceData!$AR$11),"",ReferenceData!$AR$11),"")</f>
        <v>26810</v>
      </c>
      <c r="AS11">
        <f ca="1">IFERROR(IF(0=LEN(ReferenceData!$AS$11),"",ReferenceData!$AS$11),"")</f>
        <v>24390</v>
      </c>
      <c r="AT11">
        <f ca="1">IFERROR(IF(0=LEN(ReferenceData!$AT$11),"",ReferenceData!$AT$11),"")</f>
        <v>28974</v>
      </c>
      <c r="AU11">
        <f ca="1">IFERROR(IF(0=LEN(ReferenceData!$AU$11),"",ReferenceData!$AU$11),"")</f>
        <v>31746</v>
      </c>
      <c r="AV11">
        <f ca="1">IFERROR(IF(0=LEN(ReferenceData!$AV$11),"",ReferenceData!$AV$11),"")</f>
        <v>41102</v>
      </c>
      <c r="AW11">
        <f ca="1">IFERROR(IF(0=LEN(ReferenceData!$AW$11),"",ReferenceData!$AW$11),"")</f>
        <v>43292</v>
      </c>
      <c r="AX11">
        <f ca="1">IFERROR(IF(0=LEN(ReferenceData!$AX$11),"",ReferenceData!$AX$11),"")</f>
        <v>44116</v>
      </c>
      <c r="AY11">
        <f ca="1">IFERROR(IF(0=LEN(ReferenceData!$AY$11),"",ReferenceData!$AY$11),"")</f>
        <v>41078</v>
      </c>
      <c r="AZ11">
        <f ca="1">IFERROR(IF(0=LEN(ReferenceData!$AZ$11),"",ReferenceData!$AZ$11),"")</f>
        <v>44242</v>
      </c>
      <c r="BA11">
        <f ca="1">IFERROR(IF(0=LEN(ReferenceData!$BA$11),"",ReferenceData!$BA$11),"")</f>
        <v>43005</v>
      </c>
      <c r="BB11">
        <f ca="1">IFERROR(IF(0=LEN(ReferenceData!$BB$11),"",ReferenceData!$BB$11),"")</f>
        <v>40275</v>
      </c>
      <c r="BC11">
        <f ca="1">IFERROR(IF(0=LEN(ReferenceData!$BC$11),"",ReferenceData!$BC$11),"")</f>
        <v>37095</v>
      </c>
      <c r="BD11">
        <f ca="1">IFERROR(IF(0=LEN(ReferenceData!$BD$11),"",ReferenceData!$BD$11),"")</f>
        <v>41878</v>
      </c>
      <c r="BE11">
        <f ca="1">IFERROR(IF(0=LEN(ReferenceData!$BE$11),"",ReferenceData!$BE$11),"")</f>
        <v>40801</v>
      </c>
      <c r="BF11">
        <f ca="1">IFERROR(IF(0=LEN(ReferenceData!$BF$11),"",ReferenceData!$BF$11),"")</f>
        <v>46549</v>
      </c>
      <c r="BG11">
        <f ca="1">IFERROR(IF(0=LEN(ReferenceData!$BG$11),"",ReferenceData!$BG$11),"")</f>
        <v>40510</v>
      </c>
      <c r="BH11">
        <f ca="1">IFERROR(IF(0=LEN(ReferenceData!$BH$11),"",ReferenceData!$BH$11),"")</f>
        <v>44548</v>
      </c>
      <c r="BI11">
        <f ca="1">IFERROR(IF(0=LEN(ReferenceData!$BI$11),"",ReferenceData!$BI$11),"")</f>
        <v>44895</v>
      </c>
      <c r="BJ11">
        <f ca="1">IFERROR(IF(0=LEN(ReferenceData!$BJ$11),"",ReferenceData!$BJ$11),"")</f>
        <v>44930</v>
      </c>
      <c r="BK11">
        <f ca="1">IFERROR(IF(0=LEN(ReferenceData!$BK$11),"",ReferenceData!$BK$11),"")</f>
        <v>39121</v>
      </c>
      <c r="BL11">
        <f ca="1">IFERROR(IF(0=LEN(ReferenceData!$BL$11),"",ReferenceData!$BL$11),"")</f>
        <v>42802</v>
      </c>
    </row>
    <row r="12" spans="1:64" x14ac:dyDescent="0.25">
      <c r="A12" t="str">
        <f>IFERROR(IF(0=LEN(ReferenceData!$A$12),"",ReferenceData!$A$12),"")</f>
        <v xml:space="preserve">        Total America - USA</v>
      </c>
      <c r="B12" t="str">
        <f>IFERROR(IF(0=LEN(ReferenceData!$B$12),"",ReferenceData!$B$12),"")</f>
        <v>F US Equity</v>
      </c>
      <c r="C12" t="str">
        <f>IFERROR(IF(0=LEN(ReferenceData!$C$12),"",ReferenceData!$C$12),"")</f>
        <v>BI047</v>
      </c>
      <c r="D12" t="str">
        <f>IFERROR(IF(0=LEN(ReferenceData!$D$12),"",ReferenceData!$D$12),"")</f>
        <v>BICS_SEGMENT_DATA</v>
      </c>
      <c r="E12" t="str">
        <f>IFERROR(IF(0=LEN(ReferenceData!$E$12),"",ReferenceData!$E$12),"")</f>
        <v>Dynamic</v>
      </c>
      <c r="F12">
        <f ca="1">IFERROR(IF(0=LEN(ReferenceData!$F$12),"",ReferenceData!$F$12),"")</f>
        <v>25800</v>
      </c>
      <c r="G12">
        <f ca="1">IFERROR(IF(0=LEN(ReferenceData!$G$12),"",ReferenceData!$G$12),"")</f>
        <v>22300</v>
      </c>
      <c r="H12">
        <f ca="1">IFERROR(IF(0=LEN(ReferenceData!$H$12),"",ReferenceData!$H$12),"")</f>
        <v>23700</v>
      </c>
      <c r="I12">
        <f ca="1">IFERROR(IF(0=LEN(ReferenceData!$I$12),"",ReferenceData!$I$12),"")</f>
        <v>24800</v>
      </c>
      <c r="J12">
        <f ca="1">IFERROR(IF(0=LEN(ReferenceData!$J$12),"",ReferenceData!$J$12),"")</f>
        <v>24100</v>
      </c>
      <c r="K12">
        <f ca="1">IFERROR(IF(0=LEN(ReferenceData!$K$12),"",ReferenceData!$K$12),"")</f>
        <v>20900</v>
      </c>
      <c r="L12">
        <f ca="1">IFERROR(IF(0=LEN(ReferenceData!$L$12),"",ReferenceData!$L$12),"")</f>
        <v>24500</v>
      </c>
      <c r="M12">
        <f ca="1">IFERROR(IF(0=LEN(ReferenceData!$M$12),"",ReferenceData!$M$12),"")</f>
        <v>24000</v>
      </c>
      <c r="N12">
        <f ca="1">IFERROR(IF(0=LEN(ReferenceData!$N$12),"",ReferenceData!$N$12),"")</f>
        <v>23088</v>
      </c>
      <c r="O12">
        <f ca="1">IFERROR(IF(0=LEN(ReferenceData!$O$12),"",ReferenceData!$O$12),"")</f>
        <v>21800</v>
      </c>
      <c r="P12">
        <f ca="1">IFERROR(IF(0=LEN(ReferenceData!$P$12),"",ReferenceData!$P$12),"")</f>
        <v>23800</v>
      </c>
      <c r="Q12">
        <f ca="1">IFERROR(IF(0=LEN(ReferenceData!$Q$12),"",ReferenceData!$Q$12),"")</f>
        <v>23900</v>
      </c>
      <c r="R12" t="str">
        <f ca="1">IFERROR(IF(0=LEN(ReferenceData!$R$12),"",ReferenceData!$R$12),"")</f>
        <v/>
      </c>
      <c r="S12">
        <f ca="1">IFERROR(IF(0=LEN(ReferenceData!$S$12),"",ReferenceData!$S$12),"")</f>
        <v>23663</v>
      </c>
      <c r="T12">
        <f ca="1">IFERROR(IF(0=LEN(ReferenceData!$T$12),"",ReferenceData!$T$12),"")</f>
        <v>23316</v>
      </c>
      <c r="U12">
        <f ca="1">IFERROR(IF(0=LEN(ReferenceData!$U$12),"",ReferenceData!$U$12),"")</f>
        <v>20040</v>
      </c>
      <c r="V12">
        <f ca="1">IFERROR(IF(0=LEN(ReferenceData!$V$12),"",ReferenceData!$V$12),"")</f>
        <v>20881</v>
      </c>
      <c r="W12">
        <f ca="1">IFERROR(IF(0=LEN(ReferenceData!$W$12),"",ReferenceData!$W$12),"")</f>
        <v>19942</v>
      </c>
      <c r="X12">
        <f ca="1">IFERROR(IF(0=LEN(ReferenceData!$X$12),"",ReferenceData!$X$12),"")</f>
        <v>21108</v>
      </c>
      <c r="Y12">
        <f ca="1">IFERROR(IF(0=LEN(ReferenceData!$Y$12),"",ReferenceData!$Y$12),"")</f>
        <v>20445</v>
      </c>
      <c r="Z12">
        <f ca="1">IFERROR(IF(0=LEN(ReferenceData!$Z$12),"",ReferenceData!$Z$12),"")</f>
        <v>22035</v>
      </c>
      <c r="AA12">
        <f ca="1">IFERROR(IF(0=LEN(ReferenceData!$AA$12),"",ReferenceData!$AA$12),"")</f>
        <v>21121</v>
      </c>
      <c r="AB12">
        <f ca="1">IFERROR(IF(0=LEN(ReferenceData!$AB$12),"",ReferenceData!$AB$12),"")</f>
        <v>21845</v>
      </c>
      <c r="AC12">
        <f ca="1">IFERROR(IF(0=LEN(ReferenceData!$AC$12),"",ReferenceData!$AC$12),"")</f>
        <v>21493</v>
      </c>
      <c r="AD12">
        <f ca="1">IFERROR(IF(0=LEN(ReferenceData!$AD$12),"",ReferenceData!$AD$12),"")</f>
        <v>22100</v>
      </c>
      <c r="AE12">
        <f ca="1">IFERROR(IF(0=LEN(ReferenceData!$AE$12),"",ReferenceData!$AE$12),"")</f>
        <v>19438</v>
      </c>
      <c r="AF12">
        <f ca="1">IFERROR(IF(0=LEN(ReferenceData!$AF$12),"",ReferenceData!$AF$12),"")</f>
        <v>19710</v>
      </c>
      <c r="AG12">
        <f ca="1">IFERROR(IF(0=LEN(ReferenceData!$AG$12),"",ReferenceData!$AG$12),"")</f>
        <v>18599</v>
      </c>
      <c r="AH12">
        <f ca="1">IFERROR(IF(0=LEN(ReferenceData!$AH$12),"",ReferenceData!$AH$12),"")</f>
        <v>19600</v>
      </c>
      <c r="AI12">
        <f ca="1">IFERROR(IF(0=LEN(ReferenceData!$AI$12),"",ReferenceData!$AI$12),"")</f>
        <v>17927</v>
      </c>
      <c r="AJ12">
        <f ca="1">IFERROR(IF(0=LEN(ReferenceData!$AJ$12),"",ReferenceData!$AJ$12),"")</f>
        <v>19446</v>
      </c>
      <c r="AK12">
        <f ca="1">IFERROR(IF(0=LEN(ReferenceData!$AK$12),"",ReferenceData!$AK$12),"")</f>
        <v>17957</v>
      </c>
      <c r="AL12">
        <f ca="1">IFERROR(IF(0=LEN(ReferenceData!$AL$12),"",ReferenceData!$AL$12),"")</f>
        <v>16073</v>
      </c>
      <c r="AM12">
        <f ca="1">IFERROR(IF(0=LEN(ReferenceData!$AM$12),"",ReferenceData!$AM$12),"")</f>
        <v>16205</v>
      </c>
      <c r="AN12">
        <f ca="1">IFERROR(IF(0=LEN(ReferenceData!$AN$12),"",ReferenceData!$AN$12),"")</f>
        <v>16908</v>
      </c>
      <c r="AO12">
        <f ca="1">IFERROR(IF(0=LEN(ReferenceData!$AO$12),"",ReferenceData!$AO$12),"")</f>
        <v>14132</v>
      </c>
      <c r="AP12">
        <f ca="1">IFERROR(IF(0=LEN(ReferenceData!$AP$12),"",ReferenceData!$AP$12),"")</f>
        <v>12000</v>
      </c>
      <c r="AQ12">
        <f ca="1">IFERROR(IF(0=LEN(ReferenceData!$AQ$12),"",ReferenceData!$AQ$12),"")</f>
        <v>13420</v>
      </c>
      <c r="AR12">
        <f ca="1">IFERROR(IF(0=LEN(ReferenceData!$AR$12),"",ReferenceData!$AR$12),"")</f>
        <v>10744</v>
      </c>
      <c r="AS12">
        <f ca="1">IFERROR(IF(0=LEN(ReferenceData!$AS$12),"",ReferenceData!$AS$12),"")</f>
        <v>10018</v>
      </c>
      <c r="AT12" t="str">
        <f ca="1">IFERROR(IF(0=LEN(ReferenceData!$AT$12),"",ReferenceData!$AT$12),"")</f>
        <v/>
      </c>
      <c r="AU12">
        <f ca="1">IFERROR(IF(0=LEN(ReferenceData!$AU$12),"",ReferenceData!$AU$12),"")</f>
        <v>10748</v>
      </c>
      <c r="AV12">
        <f ca="1">IFERROR(IF(0=LEN(ReferenceData!$AV$12),"",ReferenceData!$AV$12),"")</f>
        <v>14219</v>
      </c>
      <c r="AW12">
        <f ca="1">IFERROR(IF(0=LEN(ReferenceData!$AW$12),"",ReferenceData!$AW$12),"")</f>
        <v>17110</v>
      </c>
      <c r="AX12">
        <f ca="1">IFERROR(IF(0=LEN(ReferenceData!$AX$12),"",ReferenceData!$AX$12),"")</f>
        <v>26836</v>
      </c>
      <c r="AY12">
        <f ca="1">IFERROR(IF(0=LEN(ReferenceData!$AY$12),"",ReferenceData!$AY$12),"")</f>
        <v>16688</v>
      </c>
      <c r="AZ12">
        <f ca="1">IFERROR(IF(0=LEN(ReferenceData!$AZ$12),"",ReferenceData!$AZ$12),"")</f>
        <v>18791</v>
      </c>
      <c r="BA12">
        <f ca="1">IFERROR(IF(0=LEN(ReferenceData!$BA$12),"",ReferenceData!$BA$12),"")</f>
        <v>18559</v>
      </c>
      <c r="BB12">
        <f ca="1">IFERROR(IF(0=LEN(ReferenceData!$BB$12),"",ReferenceData!$BB$12),"")</f>
        <v>26804</v>
      </c>
      <c r="BC12">
        <f ca="1">IFERROR(IF(0=LEN(ReferenceData!$BC$12),"",ReferenceData!$BC$12),"")</f>
        <v>15380</v>
      </c>
      <c r="BD12">
        <f ca="1">IFERROR(IF(0=LEN(ReferenceData!$BD$12),"",ReferenceData!$BD$12),"")</f>
        <v>19155</v>
      </c>
      <c r="BE12" t="str">
        <f ca="1">IFERROR(IF(0=LEN(ReferenceData!$BE$12),"",ReferenceData!$BE$12),"")</f>
        <v/>
      </c>
      <c r="BF12" t="str">
        <f ca="1">IFERROR(IF(0=LEN(ReferenceData!$BF$12),"",ReferenceData!$BF$12),"")</f>
        <v/>
      </c>
      <c r="BG12">
        <f ca="1">IFERROR(IF(0=LEN(ReferenceData!$BG$12),"",ReferenceData!$BG$12),"")</f>
        <v>18187</v>
      </c>
      <c r="BH12">
        <f ca="1">IFERROR(IF(0=LEN(ReferenceData!$BH$12),"",ReferenceData!$BH$12),"")</f>
        <v>19932</v>
      </c>
      <c r="BI12" t="str">
        <f ca="1">IFERROR(IF(0=LEN(ReferenceData!$BI$12),"",ReferenceData!$BI$12),"")</f>
        <v/>
      </c>
      <c r="BJ12" t="str">
        <f ca="1">IFERROR(IF(0=LEN(ReferenceData!$BJ$12),"",ReferenceData!$BJ$12),"")</f>
        <v/>
      </c>
      <c r="BK12" t="str">
        <f ca="1">IFERROR(IF(0=LEN(ReferenceData!$BK$12),"",ReferenceData!$BK$12),"")</f>
        <v/>
      </c>
      <c r="BL12" t="str">
        <f ca="1">IFERROR(IF(0=LEN(ReferenceData!$BL$12),"",ReferenceData!$BL$12),"")</f>
        <v/>
      </c>
    </row>
    <row r="13" spans="1:64" x14ac:dyDescent="0.25">
      <c r="A13" t="str">
        <f>IFERROR(IF(0=LEN(ReferenceData!$A$13),"",ReferenceData!$A$13),"")</f>
        <v>By Geography ($M) - Honda</v>
      </c>
      <c r="B13" t="str">
        <f>IFERROR(IF(0=LEN(ReferenceData!$B$13),"",ReferenceData!$B$13),"")</f>
        <v>7267 JP Equity</v>
      </c>
      <c r="C13" t="str">
        <f>IFERROR(IF(0=LEN(ReferenceData!$C$13),"",ReferenceData!$C$13),"")</f>
        <v>IS010</v>
      </c>
      <c r="D13" t="str">
        <f>IFERROR(IF(0=LEN(ReferenceData!$D$13),"",ReferenceData!$D$13),"")</f>
        <v>SALES_REV_TURN</v>
      </c>
      <c r="E13" t="str">
        <f>IFERROR(IF(0=LEN(ReferenceData!$E$13),"",ReferenceData!$E$13),"")</f>
        <v>Dynamic</v>
      </c>
      <c r="F13">
        <f ca="1">IFERROR(IF(0=LEN(ReferenceData!$F$13),"",ReferenceData!$F$13),"")</f>
        <v>35249.556940000002</v>
      </c>
      <c r="G13">
        <f ca="1">IFERROR(IF(0=LEN(ReferenceData!$G$13),"",ReferenceData!$G$13),"")</f>
        <v>34458.014940000001</v>
      </c>
      <c r="H13">
        <f ca="1">IFERROR(IF(0=LEN(ReferenceData!$H$13),"",ReferenceData!$H$13),"")</f>
        <v>36884.18361</v>
      </c>
      <c r="I13">
        <f ca="1">IFERROR(IF(0=LEN(ReferenceData!$I$13),"",ReferenceData!$I$13),"")</f>
        <v>36140.929620000003</v>
      </c>
      <c r="J13">
        <f ca="1">IFERROR(IF(0=LEN(ReferenceData!$J$13),"",ReferenceData!$J$13),"")</f>
        <v>35056.18881</v>
      </c>
      <c r="K13">
        <f ca="1">IFERROR(IF(0=LEN(ReferenceData!$K$13),"",ReferenceData!$K$13),"")</f>
        <v>34033.454149999998</v>
      </c>
      <c r="L13">
        <f ca="1">IFERROR(IF(0=LEN(ReferenceData!$L$13),"",ReferenceData!$L$13),"")</f>
        <v>33416.575850000001</v>
      </c>
      <c r="M13">
        <f ca="1">IFERROR(IF(0=LEN(ReferenceData!$M$13),"",ReferenceData!$M$13),"")</f>
        <v>33135.989320000001</v>
      </c>
      <c r="N13">
        <f ca="1">IFERROR(IF(0=LEN(ReferenceData!$N$13),"",ReferenceData!$N$13),"")</f>
        <v>32030.48832</v>
      </c>
      <c r="O13">
        <f ca="1">IFERROR(IF(0=LEN(ReferenceData!$O$13),"",ReferenceData!$O$13),"")</f>
        <v>31884.642899999999</v>
      </c>
      <c r="P13">
        <f ca="1">IFERROR(IF(0=LEN(ReferenceData!$P$13),"",ReferenceData!$P$13),"")</f>
        <v>32178.227510000001</v>
      </c>
      <c r="Q13">
        <f ca="1">IFERROR(IF(0=LEN(ReferenceData!$Q$13),"",ReferenceData!$Q$13),"")</f>
        <v>31761.490570000002</v>
      </c>
      <c r="R13">
        <f ca="1">IFERROR(IF(0=LEN(ReferenceData!$R$13),"",ReferenceData!$R$13),"")</f>
        <v>29795.791369999999</v>
      </c>
      <c r="S13">
        <f ca="1">IFERROR(IF(0=LEN(ReferenceData!$S$13),"",ReferenceData!$S$13),"")</f>
        <v>29651.422200000001</v>
      </c>
      <c r="T13">
        <f ca="1">IFERROR(IF(0=LEN(ReferenceData!$T$13),"",ReferenceData!$T$13),"")</f>
        <v>30534.480449999999</v>
      </c>
      <c r="U13">
        <f ca="1">IFERROR(IF(0=LEN(ReferenceData!$U$13),"",ReferenceData!$U$13),"")</f>
        <v>28144.131440000001</v>
      </c>
      <c r="V13">
        <f ca="1">IFERROR(IF(0=LEN(ReferenceData!$V$13),"",ReferenceData!$V$13),"")</f>
        <v>30602.330979999999</v>
      </c>
      <c r="W13">
        <f ca="1">IFERROR(IF(0=LEN(ReferenceData!$W$13),"",ReferenceData!$W$13),"")</f>
        <v>30135.248869999999</v>
      </c>
      <c r="X13">
        <f ca="1">IFERROR(IF(0=LEN(ReferenceData!$X$13),"",ReferenceData!$X$13),"")</f>
        <v>31404.9035</v>
      </c>
      <c r="Y13">
        <f ca="1">IFERROR(IF(0=LEN(ReferenceData!$Y$13),"",ReferenceData!$Y$13),"")</f>
        <v>30131.038629999999</v>
      </c>
      <c r="Z13">
        <f ca="1">IFERROR(IF(0=LEN(ReferenceData!$Z$13),"",ReferenceData!$Z$13),"")</f>
        <v>30093.608639999999</v>
      </c>
      <c r="AA13">
        <f ca="1">IFERROR(IF(0=LEN(ReferenceData!$AA$13),"",ReferenceData!$AA$13),"")</f>
        <v>29217.563610000001</v>
      </c>
      <c r="AB13">
        <f ca="1">IFERROR(IF(0=LEN(ReferenceData!$AB$13),"",ReferenceData!$AB$13),"")</f>
        <v>28727.82618</v>
      </c>
      <c r="AC13">
        <f ca="1">IFERROR(IF(0=LEN(ReferenceData!$AC$13),"",ReferenceData!$AC$13),"")</f>
        <v>29800.303779999998</v>
      </c>
      <c r="AD13">
        <f ca="1">IFERROR(IF(0=LEN(ReferenceData!$AD$13),"",ReferenceData!$AD$13),"")</f>
        <v>29892.109700000001</v>
      </c>
      <c r="AE13">
        <f ca="1">IFERROR(IF(0=LEN(ReferenceData!$AE$13),"",ReferenceData!$AE$13),"")</f>
        <v>28885.537260000001</v>
      </c>
      <c r="AF13">
        <f ca="1">IFERROR(IF(0=LEN(ReferenceData!$AF$13),"",ReferenceData!$AF$13),"")</f>
        <v>30424.397720000001</v>
      </c>
      <c r="AG13">
        <f ca="1">IFERROR(IF(0=LEN(ReferenceData!$AG$13),"",ReferenceData!$AG$13),"")</f>
        <v>30347.62343</v>
      </c>
      <c r="AH13">
        <f ca="1">IFERROR(IF(0=LEN(ReferenceData!$AH$13),"",ReferenceData!$AH$13),"")</f>
        <v>25116.371230000001</v>
      </c>
      <c r="AI13">
        <f ca="1">IFERROR(IF(0=LEN(ReferenceData!$AI$13),"",ReferenceData!$AI$13),"")</f>
        <v>24286.376469999999</v>
      </c>
      <c r="AJ13">
        <f ca="1">IFERROR(IF(0=LEN(ReferenceData!$AJ$13),"",ReferenceData!$AJ$13),"")</f>
        <v>21031.771570000001</v>
      </c>
      <c r="AK13">
        <f ca="1">IFERROR(IF(0=LEN(ReferenceData!$AK$13),"",ReferenceData!$AK$13),"")</f>
        <v>26914.045900000001</v>
      </c>
      <c r="AL13">
        <f ca="1">IFERROR(IF(0=LEN(ReferenceData!$AL$13),"",ReferenceData!$AL$13),"")</f>
        <v>25570.3878</v>
      </c>
      <c r="AM13">
        <f ca="1">IFERROR(IF(0=LEN(ReferenceData!$AM$13),"",ReferenceData!$AM$13),"")</f>
        <v>26267.020680000001</v>
      </c>
      <c r="AN13">
        <f ca="1">IFERROR(IF(0=LEN(ReferenceData!$AN$13),"",ReferenceData!$AN$13),"")</f>
        <v>25655.677500000002</v>
      </c>
      <c r="AO13">
        <f ca="1">IFERROR(IF(0=LEN(ReferenceData!$AO$13),"",ReferenceData!$AO$13),"")</f>
        <v>25141.954430000002</v>
      </c>
      <c r="AP13">
        <f ca="1">IFERROR(IF(0=LEN(ReferenceData!$AP$13),"",ReferenceData!$AP$13),"")</f>
        <v>24946.14572</v>
      </c>
      <c r="AQ13">
        <f ca="1">IFERROR(IF(0=LEN(ReferenceData!$AQ$13),"",ReferenceData!$AQ$13),"")</f>
        <v>21993.99711</v>
      </c>
      <c r="AR13">
        <f ca="1">IFERROR(IF(0=LEN(ReferenceData!$AR$13),"",ReferenceData!$AR$13),"")</f>
        <v>20574.74237</v>
      </c>
      <c r="AS13">
        <f ca="1">IFERROR(IF(0=LEN(ReferenceData!$AS$13),"",ReferenceData!$AS$13),"")</f>
        <v>19070.704040000001</v>
      </c>
      <c r="AT13">
        <f ca="1">IFERROR(IF(0=LEN(ReferenceData!$AT$13),"",ReferenceData!$AT$13),"")</f>
        <v>26430.684710000001</v>
      </c>
      <c r="AU13">
        <f ca="1">IFERROR(IF(0=LEN(ReferenceData!$AU$13),"",ReferenceData!$AU$13),"")</f>
        <v>26279.20895</v>
      </c>
      <c r="AV13">
        <f ca="1">IFERROR(IF(0=LEN(ReferenceData!$AV$13),"",ReferenceData!$AV$13),"")</f>
        <v>27415.487570000001</v>
      </c>
      <c r="AW13">
        <f ca="1">IFERROR(IF(0=LEN(ReferenceData!$AW$13),"",ReferenceData!$AW$13),"")</f>
        <v>29043.585080000001</v>
      </c>
      <c r="AX13">
        <f ca="1">IFERROR(IF(0=LEN(ReferenceData!$AX$13),"",ReferenceData!$AX$13),"")</f>
        <v>26917.485100000002</v>
      </c>
      <c r="AY13">
        <f ca="1">IFERROR(IF(0=LEN(ReferenceData!$AY$13),"",ReferenceData!$AY$13),"")</f>
        <v>25240.932830000002</v>
      </c>
      <c r="AZ13">
        <f ca="1">IFERROR(IF(0=LEN(ReferenceData!$AZ$13),"",ReferenceData!$AZ$13),"")</f>
        <v>24266.914669999998</v>
      </c>
      <c r="BA13">
        <f ca="1">IFERROR(IF(0=LEN(ReferenceData!$BA$13),"",ReferenceData!$BA$13),"")</f>
        <v>25872.96355</v>
      </c>
      <c r="BB13">
        <f ca="1">IFERROR(IF(0=LEN(ReferenceData!$BB$13),"",ReferenceData!$BB$13),"")</f>
        <v>23510.714749999999</v>
      </c>
      <c r="BC13">
        <f ca="1">IFERROR(IF(0=LEN(ReferenceData!$BC$13),"",ReferenceData!$BC$13),"")</f>
        <v>22628.39532</v>
      </c>
      <c r="BD13">
        <f ca="1">IFERROR(IF(0=LEN(ReferenceData!$BD$13),"",ReferenceData!$BD$13),"")</f>
        <v>22742.63193</v>
      </c>
      <c r="BE13">
        <f ca="1">IFERROR(IF(0=LEN(ReferenceData!$BE$13),"",ReferenceData!$BE$13),"")</f>
        <v>25425.929599999999</v>
      </c>
      <c r="BF13">
        <f ca="1">IFERROR(IF(0=LEN(ReferenceData!$BF$13),"",ReferenceData!$BF$13),"")</f>
        <v>21085.02462</v>
      </c>
      <c r="BG13">
        <f ca="1">IFERROR(IF(0=LEN(ReferenceData!$BG$13),"",ReferenceData!$BG$13),"")</f>
        <v>21018.834279999999</v>
      </c>
      <c r="BH13">
        <f ca="1">IFERROR(IF(0=LEN(ReferenceData!$BH$13),"",ReferenceData!$BH$13),"")</f>
        <v>21059.35555</v>
      </c>
      <c r="BI13">
        <f ca="1">IFERROR(IF(0=LEN(ReferenceData!$BI$13),"",ReferenceData!$BI$13),"")</f>
        <v>22481.10828</v>
      </c>
      <c r="BJ13">
        <f ca="1">IFERROR(IF(0=LEN(ReferenceData!$BJ$13),"",ReferenceData!$BJ$13),"")</f>
        <v>20199.268220000002</v>
      </c>
      <c r="BK13">
        <f ca="1">IFERROR(IF(0=LEN(ReferenceData!$BK$13),"",ReferenceData!$BK$13),"")</f>
        <v>19047.328590000001</v>
      </c>
      <c r="BL13">
        <f ca="1">IFERROR(IF(0=LEN(ReferenceData!$BL$13),"",ReferenceData!$BL$13),"")</f>
        <v>18907.849770000001</v>
      </c>
    </row>
    <row r="14" spans="1:64" x14ac:dyDescent="0.25">
      <c r="A14" t="str">
        <f>IFERROR(IF(0=LEN(ReferenceData!$A$14),"",ReferenceData!$A$14),"")</f>
        <v xml:space="preserve">        North America</v>
      </c>
      <c r="B14" t="str">
        <f>IFERROR(IF(0=LEN(ReferenceData!$B$14),"",ReferenceData!$B$14),"")</f>
        <v>7267 JP Equity</v>
      </c>
      <c r="C14" t="str">
        <f>IFERROR(IF(0=LEN(ReferenceData!$C$14),"",ReferenceData!$C$14),"")</f>
        <v>BI047</v>
      </c>
      <c r="D14" t="str">
        <f>IFERROR(IF(0=LEN(ReferenceData!$D$14),"",ReferenceData!$D$14),"")</f>
        <v>BICS_SEGMENT_DATA</v>
      </c>
      <c r="E14" t="str">
        <f>IFERROR(IF(0=LEN(ReferenceData!$E$14),"",ReferenceData!$E$14),"")</f>
        <v>Dynamic</v>
      </c>
      <c r="F14">
        <f ca="1">IFERROR(IF(0=LEN(ReferenceData!$F$14),"",ReferenceData!$F$14),"")</f>
        <v>18850.285950000001</v>
      </c>
      <c r="G14" t="str">
        <f ca="1">IFERROR(IF(0=LEN(ReferenceData!$G$14),"",ReferenceData!$G$14),"")</f>
        <v/>
      </c>
      <c r="H14">
        <f ca="1">IFERROR(IF(0=LEN(ReferenceData!$H$14),"",ReferenceData!$H$14),"")</f>
        <v>19942.932410000001</v>
      </c>
      <c r="I14">
        <f ca="1">IFERROR(IF(0=LEN(ReferenceData!$I$14),"",ReferenceData!$I$14),"")</f>
        <v>18508.423599999998</v>
      </c>
      <c r="J14">
        <f ca="1">IFERROR(IF(0=LEN(ReferenceData!$J$14),"",ReferenceData!$J$14),"")</f>
        <v>18720.48603</v>
      </c>
      <c r="K14">
        <f ca="1">IFERROR(IF(0=LEN(ReferenceData!$K$14),"",ReferenceData!$K$14),"")</f>
        <v>17452.60902</v>
      </c>
      <c r="L14">
        <f ca="1">IFERROR(IF(0=LEN(ReferenceData!$L$14),"",ReferenceData!$L$14),"")</f>
        <v>18079.196080000002</v>
      </c>
      <c r="M14">
        <f ca="1">IFERROR(IF(0=LEN(ReferenceData!$M$14),"",ReferenceData!$M$14),"")</f>
        <v>17469.827089999999</v>
      </c>
      <c r="N14">
        <f ca="1">IFERROR(IF(0=LEN(ReferenceData!$N$14),"",ReferenceData!$N$14),"")</f>
        <v>17639.280060000001</v>
      </c>
      <c r="O14">
        <f ca="1">IFERROR(IF(0=LEN(ReferenceData!$O$14),"",ReferenceData!$O$14),"")</f>
        <v>16973.574530000002</v>
      </c>
      <c r="P14">
        <f ca="1">IFERROR(IF(0=LEN(ReferenceData!$P$14),"",ReferenceData!$P$14),"")</f>
        <v>18248.24424</v>
      </c>
      <c r="Q14">
        <f ca="1">IFERROR(IF(0=LEN(ReferenceData!$Q$14),"",ReferenceData!$Q$14),"")</f>
        <v>17268.329519999999</v>
      </c>
      <c r="R14">
        <f ca="1">IFERROR(IF(0=LEN(ReferenceData!$R$14),"",ReferenceData!$R$14),"")</f>
        <v>16682.530490000001</v>
      </c>
      <c r="S14">
        <f ca="1">IFERROR(IF(0=LEN(ReferenceData!$S$14),"",ReferenceData!$S$14),"")</f>
        <v>16406.045399999999</v>
      </c>
      <c r="T14">
        <f ca="1">IFERROR(IF(0=LEN(ReferenceData!$T$14),"",ReferenceData!$T$14),"")</f>
        <v>17278.86234</v>
      </c>
      <c r="U14" t="str">
        <f ca="1">IFERROR(IF(0=LEN(ReferenceData!$U$14),"",ReferenceData!$U$14),"")</f>
        <v/>
      </c>
      <c r="V14">
        <f ca="1">IFERROR(IF(0=LEN(ReferenceData!$V$14),"",ReferenceData!$V$14),"")</f>
        <v>15066.45383</v>
      </c>
      <c r="W14" t="str">
        <f ca="1">IFERROR(IF(0=LEN(ReferenceData!$W$14),"",ReferenceData!$W$14),"")</f>
        <v/>
      </c>
      <c r="X14">
        <f ca="1">IFERROR(IF(0=LEN(ReferenceData!$X$14),"",ReferenceData!$X$14),"")</f>
        <v>15896.375679999999</v>
      </c>
      <c r="Y14">
        <f ca="1">IFERROR(IF(0=LEN(ReferenceData!$Y$14),"",ReferenceData!$Y$14),"")</f>
        <v>12753.396280000001</v>
      </c>
      <c r="Z14">
        <f ca="1">IFERROR(IF(0=LEN(ReferenceData!$Z$14),"",ReferenceData!$Z$14),"")</f>
        <v>14751.012430000001</v>
      </c>
      <c r="AA14">
        <f ca="1">IFERROR(IF(0=LEN(ReferenceData!$AA$14),"",ReferenceData!$AA$14),"")</f>
        <v>13926.94757</v>
      </c>
      <c r="AB14">
        <f ca="1">IFERROR(IF(0=LEN(ReferenceData!$AB$14),"",ReferenceData!$AB$14),"")</f>
        <v>14173.11867</v>
      </c>
      <c r="AC14">
        <f ca="1">IFERROR(IF(0=LEN(ReferenceData!$AC$14),"",ReferenceData!$AC$14),"")</f>
        <v>13691.43612</v>
      </c>
      <c r="AD14">
        <f ca="1">IFERROR(IF(0=LEN(ReferenceData!$AD$14),"",ReferenceData!$AD$14),"")</f>
        <v>14663.891530000001</v>
      </c>
      <c r="AE14">
        <f ca="1">IFERROR(IF(0=LEN(ReferenceData!$AE$14),"",ReferenceData!$AE$14),"")</f>
        <v>12538.203810000001</v>
      </c>
      <c r="AF14">
        <f ca="1">IFERROR(IF(0=LEN(ReferenceData!$AF$14),"",ReferenceData!$AF$14),"")</f>
        <v>14355.76878</v>
      </c>
      <c r="AG14">
        <f ca="1">IFERROR(IF(0=LEN(ReferenceData!$AG$14),"",ReferenceData!$AG$14),"")</f>
        <v>14218.13228</v>
      </c>
      <c r="AH14">
        <f ca="1">IFERROR(IF(0=LEN(ReferenceData!$AH$14),"",ReferenceData!$AH$14),"")</f>
        <v>11932.07517</v>
      </c>
      <c r="AI14">
        <f ca="1">IFERROR(IF(0=LEN(ReferenceData!$AI$14),"",ReferenceData!$AI$14),"")</f>
        <v>9565.0533259999993</v>
      </c>
      <c r="AJ14">
        <f ca="1">IFERROR(IF(0=LEN(ReferenceData!$AJ$14),"",ReferenceData!$AJ$14),"")</f>
        <v>8443.4308349999992</v>
      </c>
      <c r="AK14">
        <f ca="1">IFERROR(IF(0=LEN(ReferenceData!$AK$14),"",ReferenceData!$AK$14),"")</f>
        <v>11191.003199999999</v>
      </c>
      <c r="AL14">
        <f ca="1">IFERROR(IF(0=LEN(ReferenceData!$AL$14),"",ReferenceData!$AL$14),"")</f>
        <v>11608.750620000001</v>
      </c>
      <c r="AM14">
        <f ca="1">IFERROR(IF(0=LEN(ReferenceData!$AM$14),"",ReferenceData!$AM$14),"")</f>
        <v>11224.10124</v>
      </c>
      <c r="AN14">
        <f ca="1">IFERROR(IF(0=LEN(ReferenceData!$AN$14),"",ReferenceData!$AN$14),"")</f>
        <v>11742.29271</v>
      </c>
      <c r="AO14">
        <f ca="1">IFERROR(IF(0=LEN(ReferenceData!$AO$14),"",ReferenceData!$AO$14),"")</f>
        <v>10540.185750000001</v>
      </c>
      <c r="AP14">
        <f ca="1">IFERROR(IF(0=LEN(ReferenceData!$AP$14),"",ReferenceData!$AP$14),"")</f>
        <v>10976.074780000001</v>
      </c>
      <c r="AQ14">
        <f ca="1">IFERROR(IF(0=LEN(ReferenceData!$AQ$14),"",ReferenceData!$AQ$14),"")</f>
        <v>9215.8650170000001</v>
      </c>
      <c r="AR14">
        <f ca="1">IFERROR(IF(0=LEN(ReferenceData!$AR$14),"",ReferenceData!$AR$14),"")</f>
        <v>9588.6644379999998</v>
      </c>
      <c r="AS14">
        <f ca="1">IFERROR(IF(0=LEN(ReferenceData!$AS$14),"",ReferenceData!$AS$14),"")</f>
        <v>6720.2097649999996</v>
      </c>
      <c r="AT14">
        <f ca="1">IFERROR(IF(0=LEN(ReferenceData!$AT$14),"",ReferenceData!$AT$14),"")</f>
        <v>12143.808370000001</v>
      </c>
      <c r="AU14">
        <f ca="1">IFERROR(IF(0=LEN(ReferenceData!$AU$14),"",ReferenceData!$AU$14),"")</f>
        <v>12025.455040000001</v>
      </c>
      <c r="AV14">
        <f ca="1">IFERROR(IF(0=LEN(ReferenceData!$AV$14),"",ReferenceData!$AV$14),"")</f>
        <v>13654.700290000001</v>
      </c>
      <c r="AW14">
        <f ca="1">IFERROR(IF(0=LEN(ReferenceData!$AW$14),"",ReferenceData!$AW$14),"")</f>
        <v>13603.67222</v>
      </c>
      <c r="AX14">
        <f ca="1">IFERROR(IF(0=LEN(ReferenceData!$AX$14),"",ReferenceData!$AX$14),"")</f>
        <v>14098.206690000001</v>
      </c>
      <c r="AY14">
        <f ca="1">IFERROR(IF(0=LEN(ReferenceData!$AY$14),"",ReferenceData!$AY$14),"")</f>
        <v>12817.239519999999</v>
      </c>
      <c r="AZ14">
        <f ca="1">IFERROR(IF(0=LEN(ReferenceData!$AZ$14),"",ReferenceData!$AZ$14),"")</f>
        <v>12697.273080000001</v>
      </c>
      <c r="BA14">
        <f ca="1">IFERROR(IF(0=LEN(ReferenceData!$BA$14),"",ReferenceData!$BA$14),"")</f>
        <v>13498.5182</v>
      </c>
      <c r="BB14">
        <f ca="1">IFERROR(IF(0=LEN(ReferenceData!$BB$14),"",ReferenceData!$BB$14),"")</f>
        <v>13281.028560000001</v>
      </c>
      <c r="BC14">
        <f ca="1">IFERROR(IF(0=LEN(ReferenceData!$BC$14),"",ReferenceData!$BC$14),"")</f>
        <v>11839.139649999999</v>
      </c>
      <c r="BD14">
        <f ca="1">IFERROR(IF(0=LEN(ReferenceData!$BD$14),"",ReferenceData!$BD$14),"")</f>
        <v>12504.46543</v>
      </c>
      <c r="BE14">
        <f ca="1">IFERROR(IF(0=LEN(ReferenceData!$BE$14),"",ReferenceData!$BE$14),"")</f>
        <v>13542.006009999999</v>
      </c>
      <c r="BF14">
        <f ca="1">IFERROR(IF(0=LEN(ReferenceData!$BF$14),"",ReferenceData!$BF$14),"")</f>
        <v>12262.83973</v>
      </c>
      <c r="BG14">
        <f ca="1">IFERROR(IF(0=LEN(ReferenceData!$BG$14),"",ReferenceData!$BG$14),"")</f>
        <v>11059.148939999999</v>
      </c>
      <c r="BH14">
        <f ca="1">IFERROR(IF(0=LEN(ReferenceData!$BH$14),"",ReferenceData!$BH$14),"")</f>
        <v>11279.441860000001</v>
      </c>
      <c r="BI14">
        <f ca="1">IFERROR(IF(0=LEN(ReferenceData!$BI$14),"",ReferenceData!$BI$14),"")</f>
        <v>11915.813889999999</v>
      </c>
      <c r="BJ14">
        <f ca="1">IFERROR(IF(0=LEN(ReferenceData!$BJ$14),"",ReferenceData!$BJ$14),"")</f>
        <v>10955.733130000001</v>
      </c>
      <c r="BK14">
        <f ca="1">IFERROR(IF(0=LEN(ReferenceData!$BK$14),"",ReferenceData!$BK$14),"")</f>
        <v>9710.8552110000001</v>
      </c>
      <c r="BL14">
        <f ca="1">IFERROR(IF(0=LEN(ReferenceData!$BL$14),"",ReferenceData!$BL$14),"")</f>
        <v>10078.10693</v>
      </c>
    </row>
    <row r="15" spans="1:64" x14ac:dyDescent="0.25">
      <c r="A15" t="str">
        <f>IFERROR(IF(0=LEN(ReferenceData!$A$15),"",ReferenceData!$A$15),"")</f>
        <v>By Geography ($M) - Nissan</v>
      </c>
      <c r="B15" t="str">
        <f>IFERROR(IF(0=LEN(ReferenceData!$B$15),"",ReferenceData!$B$15),"")</f>
        <v>7201 JP Equity</v>
      </c>
      <c r="C15" t="str">
        <f>IFERROR(IF(0=LEN(ReferenceData!$C$15),"",ReferenceData!$C$15),"")</f>
        <v>IS010</v>
      </c>
      <c r="D15" t="str">
        <f>IFERROR(IF(0=LEN(ReferenceData!$D$15),"",ReferenceData!$D$15),"")</f>
        <v>SALES_REV_TURN</v>
      </c>
      <c r="E15" t="str">
        <f>IFERROR(IF(0=LEN(ReferenceData!$E$15),"",ReferenceData!$E$15),"")</f>
        <v>Dynamic</v>
      </c>
      <c r="F15">
        <f ca="1">IFERROR(IF(0=LEN(ReferenceData!$F$15),"",ReferenceData!$F$15),"")</f>
        <v>27017.875619999999</v>
      </c>
      <c r="G15">
        <f ca="1">IFERROR(IF(0=LEN(ReferenceData!$G$15),"",ReferenceData!$G$15),"")</f>
        <v>25259.116150000002</v>
      </c>
      <c r="H15">
        <f ca="1">IFERROR(IF(0=LEN(ReferenceData!$H$15),"",ReferenceData!$H$15),"")</f>
        <v>24899.59405</v>
      </c>
      <c r="I15">
        <f ca="1">IFERROR(IF(0=LEN(ReferenceData!$I$15),"",ReferenceData!$I$15),"")</f>
        <v>31602.910599999999</v>
      </c>
      <c r="J15">
        <f ca="1">IFERROR(IF(0=LEN(ReferenceData!$J$15),"",ReferenceData!$J$15),"")</f>
        <v>25473.93017</v>
      </c>
      <c r="K15">
        <f ca="1">IFERROR(IF(0=LEN(ReferenceData!$K$15),"",ReferenceData!$K$15),"")</f>
        <v>26065.16072</v>
      </c>
      <c r="L15">
        <f ca="1">IFERROR(IF(0=LEN(ReferenceData!$L$15),"",ReferenceData!$L$15),"")</f>
        <v>24842.966349999999</v>
      </c>
      <c r="M15">
        <f ca="1">IFERROR(IF(0=LEN(ReferenceData!$M$15),"",ReferenceData!$M$15),"")</f>
        <v>30422.726259999999</v>
      </c>
      <c r="N15">
        <f ca="1">IFERROR(IF(0=LEN(ReferenceData!$N$15),"",ReferenceData!$N$15),"")</f>
        <v>26931.527580000002</v>
      </c>
      <c r="O15">
        <f ca="1">IFERROR(IF(0=LEN(ReferenceData!$O$15),"",ReferenceData!$O$15),"")</f>
        <v>26056.526419999998</v>
      </c>
      <c r="P15">
        <f ca="1">IFERROR(IF(0=LEN(ReferenceData!$P$15),"",ReferenceData!$P$15),"")</f>
        <v>24603.604759999998</v>
      </c>
      <c r="Q15">
        <f ca="1">IFERROR(IF(0=LEN(ReferenceData!$Q$15),"",ReferenceData!$Q$15),"")</f>
        <v>28189.334559999999</v>
      </c>
      <c r="R15">
        <f ca="1">IFERROR(IF(0=LEN(ReferenceData!$R$15),"",ReferenceData!$R$15),"")</f>
        <v>24792.12859</v>
      </c>
      <c r="S15">
        <f ca="1">IFERROR(IF(0=LEN(ReferenceData!$S$15),"",ReferenceData!$S$15),"")</f>
        <v>24841.90526</v>
      </c>
      <c r="T15">
        <f ca="1">IFERROR(IF(0=LEN(ReferenceData!$T$15),"",ReferenceData!$T$15),"")</f>
        <v>23896.319500000001</v>
      </c>
      <c r="U15">
        <f ca="1">IFERROR(IF(0=LEN(ReferenceData!$U$15),"",ReferenceData!$U$15),"")</f>
        <v>27581.647929999999</v>
      </c>
      <c r="V15">
        <f ca="1">IFERROR(IF(0=LEN(ReferenceData!$V$15),"",ReferenceData!$V$15),"")</f>
        <v>25755.265670000001</v>
      </c>
      <c r="W15">
        <f ca="1">IFERROR(IF(0=LEN(ReferenceData!$W$15),"",ReferenceData!$W$15),"")</f>
        <v>25777.083790000001</v>
      </c>
      <c r="X15">
        <f ca="1">IFERROR(IF(0=LEN(ReferenceData!$X$15),"",ReferenceData!$X$15),"")</f>
        <v>24146.93951</v>
      </c>
      <c r="Y15">
        <f ca="1">IFERROR(IF(0=LEN(ReferenceData!$Y$15),"",ReferenceData!$Y$15),"")</f>
        <v>31168.643100000001</v>
      </c>
      <c r="Z15">
        <f ca="1">IFERROR(IF(0=LEN(ReferenceData!$Z$15),"",ReferenceData!$Z$15),"")</f>
        <v>25127.8413</v>
      </c>
      <c r="AA15">
        <f ca="1">IFERROR(IF(0=LEN(ReferenceData!$AA$15),"",ReferenceData!$AA$15),"")</f>
        <v>25507.995159999999</v>
      </c>
      <c r="AB15">
        <f ca="1">IFERROR(IF(0=LEN(ReferenceData!$AB$15),"",ReferenceData!$AB$15),"")</f>
        <v>22634.19354</v>
      </c>
      <c r="AC15">
        <f ca="1">IFERROR(IF(0=LEN(ReferenceData!$AC$15),"",ReferenceData!$AC$15),"")</f>
        <v>28847.288120000001</v>
      </c>
      <c r="AD15">
        <f ca="1">IFERROR(IF(0=LEN(ReferenceData!$AD$15),"",ReferenceData!$AD$15),"")</f>
        <v>24848.326349999999</v>
      </c>
      <c r="AE15">
        <f ca="1">IFERROR(IF(0=LEN(ReferenceData!$AE$15),"",ReferenceData!$AE$15),"")</f>
        <v>27576.415229999999</v>
      </c>
      <c r="AF15">
        <f ca="1">IFERROR(IF(0=LEN(ReferenceData!$AF$15),"",ReferenceData!$AF$15),"")</f>
        <v>23672.389620000002</v>
      </c>
      <c r="AG15">
        <f ca="1">IFERROR(IF(0=LEN(ReferenceData!$AG$15),"",ReferenceData!$AG$15),"")</f>
        <v>34203.085489999998</v>
      </c>
      <c r="AH15">
        <f ca="1">IFERROR(IF(0=LEN(ReferenceData!$AH$15),"",ReferenceData!$AH$15),"")</f>
        <v>30138.57231</v>
      </c>
      <c r="AI15">
        <f ca="1">IFERROR(IF(0=LEN(ReferenceData!$AI$15),"",ReferenceData!$AI$15),"")</f>
        <v>29432.39545</v>
      </c>
      <c r="AJ15">
        <f ca="1">IFERROR(IF(0=LEN(ReferenceData!$AJ$15),"",ReferenceData!$AJ$15),"")</f>
        <v>25537.899860000001</v>
      </c>
      <c r="AK15">
        <f ca="1">IFERROR(IF(0=LEN(ReferenceData!$AK$15),"",ReferenceData!$AK$15),"")</f>
        <v>28594.538830000001</v>
      </c>
      <c r="AL15">
        <f ca="1">IFERROR(IF(0=LEN(ReferenceData!$AL$15),"",ReferenceData!$AL$15),"")</f>
        <v>25477.577020000001</v>
      </c>
      <c r="AM15">
        <f ca="1">IFERROR(IF(0=LEN(ReferenceData!$AM$15),"",ReferenceData!$AM$15),"")</f>
        <v>26465.652460000001</v>
      </c>
      <c r="AN15">
        <f ca="1">IFERROR(IF(0=LEN(ReferenceData!$AN$15),"",ReferenceData!$AN$15),"")</f>
        <v>22273.322950000002</v>
      </c>
      <c r="AO15">
        <f ca="1">IFERROR(IF(0=LEN(ReferenceData!$AO$15),"",ReferenceData!$AO$15),"")</f>
        <v>23577.287390000001</v>
      </c>
      <c r="AP15">
        <f ca="1">IFERROR(IF(0=LEN(ReferenceData!$AP$15),"",ReferenceData!$AP$15),"")</f>
        <v>22223.705549999999</v>
      </c>
      <c r="AQ15">
        <f ca="1">IFERROR(IF(0=LEN(ReferenceData!$AQ$15),"",ReferenceData!$AQ$15),"")</f>
        <v>19982.251459999999</v>
      </c>
      <c r="AR15">
        <f ca="1">IFERROR(IF(0=LEN(ReferenceData!$AR$15),"",ReferenceData!$AR$15),"")</f>
        <v>15566.45343</v>
      </c>
      <c r="AS15">
        <f ca="1">IFERROR(IF(0=LEN(ReferenceData!$AS$15),"",ReferenceData!$AS$15),"")</f>
        <v>18720.62329</v>
      </c>
      <c r="AT15">
        <f ca="1">IFERROR(IF(0=LEN(ReferenceData!$AT$15),"",ReferenceData!$AT$15),"")</f>
        <v>18952.384020000001</v>
      </c>
      <c r="AU15">
        <f ca="1">IFERROR(IF(0=LEN(ReferenceData!$AU$15),"",ReferenceData!$AU$15),"")</f>
        <v>23445.799370000001</v>
      </c>
      <c r="AV15">
        <f ca="1">IFERROR(IF(0=LEN(ReferenceData!$AV$15),"",ReferenceData!$AV$15),"")</f>
        <v>22443.693950000001</v>
      </c>
      <c r="AW15">
        <f ca="1">IFERROR(IF(0=LEN(ReferenceData!$AW$15),"",ReferenceData!$AW$15),"")</f>
        <v>28417.041140000001</v>
      </c>
      <c r="AX15">
        <f ca="1">IFERROR(IF(0=LEN(ReferenceData!$AX$15),"",ReferenceData!$AX$15),"")</f>
        <v>24488.964120000001</v>
      </c>
      <c r="AY15">
        <f ca="1">IFERROR(IF(0=LEN(ReferenceData!$AY$15),"",ReferenceData!$AY$15),"")</f>
        <v>22239.412479999999</v>
      </c>
      <c r="AZ15">
        <f ca="1">IFERROR(IF(0=LEN(ReferenceData!$AZ$15),"",ReferenceData!$AZ$15),"")</f>
        <v>20254.580580000002</v>
      </c>
      <c r="BA15">
        <f ca="1">IFERROR(IF(0=LEN(ReferenceData!$BA$15),"",ReferenceData!$BA$15),"")</f>
        <v>30091.973689999999</v>
      </c>
      <c r="BB15">
        <f ca="1">IFERROR(IF(0=LEN(ReferenceData!$BB$15),"",ReferenceData!$BB$15),"")</f>
        <v>19894.161169999999</v>
      </c>
      <c r="BC15">
        <f ca="1">IFERROR(IF(0=LEN(ReferenceData!$BC$15),"",ReferenceData!$BC$15),"")</f>
        <v>19989.054929999998</v>
      </c>
      <c r="BD15">
        <f ca="1">IFERROR(IF(0=LEN(ReferenceData!$BD$15),"",ReferenceData!$BD$15),"")</f>
        <v>19336.674950000001</v>
      </c>
      <c r="BE15">
        <f ca="1">IFERROR(IF(0=LEN(ReferenceData!$BE$15),"",ReferenceData!$BE$15),"")</f>
        <v>22553.52288</v>
      </c>
      <c r="BF15">
        <f ca="1">IFERROR(IF(0=LEN(ReferenceData!$BF$15),"",ReferenceData!$BF$15),"")</f>
        <v>19628.84791</v>
      </c>
      <c r="BG15">
        <f ca="1">IFERROR(IF(0=LEN(ReferenceData!$BG$15),"",ReferenceData!$BG$15),"")</f>
        <v>21094.766319999999</v>
      </c>
      <c r="BH15">
        <f ca="1">IFERROR(IF(0=LEN(ReferenceData!$BH$15),"",ReferenceData!$BH$15),"")</f>
        <v>19946.03383</v>
      </c>
      <c r="BI15">
        <f ca="1">IFERROR(IF(0=LEN(ReferenceData!$BI$15),"",ReferenceData!$BI$15),"")</f>
        <v>23694.68707</v>
      </c>
      <c r="BJ15">
        <f ca="1">IFERROR(IF(0=LEN(ReferenceData!$BJ$15),"",ReferenceData!$BJ$15),"")</f>
        <v>19802.888040000002</v>
      </c>
      <c r="BK15">
        <f ca="1">IFERROR(IF(0=LEN(ReferenceData!$BK$15),"",ReferenceData!$BK$15),"")</f>
        <v>19135.533490000002</v>
      </c>
      <c r="BL15">
        <f ca="1">IFERROR(IF(0=LEN(ReferenceData!$BL$15),"",ReferenceData!$BL$15),"")</f>
        <v>17371.219249999998</v>
      </c>
    </row>
    <row r="16" spans="1:64" x14ac:dyDescent="0.25">
      <c r="A16" t="str">
        <f>IFERROR(IF(0=LEN(ReferenceData!$A$16),"",ReferenceData!$A$16),"")</f>
        <v xml:space="preserve">        North America</v>
      </c>
      <c r="B16" t="str">
        <f>IFERROR(IF(0=LEN(ReferenceData!$B$16),"",ReferenceData!$B$16),"")</f>
        <v>7201 JP Equity</v>
      </c>
      <c r="C16" t="str">
        <f>IFERROR(IF(0=LEN(ReferenceData!$C$16),"",ReferenceData!$C$16),"")</f>
        <v>BI047</v>
      </c>
      <c r="D16" t="str">
        <f>IFERROR(IF(0=LEN(ReferenceData!$D$16),"",ReferenceData!$D$16),"")</f>
        <v>BICS_SEGMENT_DATA</v>
      </c>
      <c r="E16" t="str">
        <f>IFERROR(IF(0=LEN(ReferenceData!$E$16),"",ReferenceData!$E$16),"")</f>
        <v>Dynamic</v>
      </c>
      <c r="F16">
        <f ca="1">IFERROR(IF(0=LEN(ReferenceData!$F$16),"",ReferenceData!$F$16),"")</f>
        <v>13591.968639999999</v>
      </c>
      <c r="G16">
        <f ca="1">IFERROR(IF(0=LEN(ReferenceData!$G$16),"",ReferenceData!$G$16),"")</f>
        <v>11640.52456</v>
      </c>
      <c r="H16">
        <f ca="1">IFERROR(IF(0=LEN(ReferenceData!$H$16),"",ReferenceData!$H$16),"")</f>
        <v>11709.287189999999</v>
      </c>
      <c r="I16">
        <f ca="1">IFERROR(IF(0=LEN(ReferenceData!$I$16),"",ReferenceData!$I$16),"")</f>
        <v>14667.266750000001</v>
      </c>
      <c r="J16">
        <f ca="1">IFERROR(IF(0=LEN(ReferenceData!$J$16),"",ReferenceData!$J$16),"")</f>
        <v>12610.89696</v>
      </c>
      <c r="K16">
        <f ca="1">IFERROR(IF(0=LEN(ReferenceData!$K$16),"",ReferenceData!$K$16),"")</f>
        <v>12836.803680000001</v>
      </c>
      <c r="L16">
        <f ca="1">IFERROR(IF(0=LEN(ReferenceData!$L$16),"",ReferenceData!$L$16),"")</f>
        <v>13194.18439</v>
      </c>
      <c r="M16">
        <f ca="1">IFERROR(IF(0=LEN(ReferenceData!$M$16),"",ReferenceData!$M$16),"")</f>
        <v>14569.234769999999</v>
      </c>
      <c r="N16">
        <f ca="1">IFERROR(IF(0=LEN(ReferenceData!$N$16),"",ReferenceData!$N$16),"")</f>
        <v>13506.484990000001</v>
      </c>
      <c r="O16">
        <f ca="1">IFERROR(IF(0=LEN(ReferenceData!$O$16),"",ReferenceData!$O$16),"")</f>
        <v>12982.678379999999</v>
      </c>
      <c r="P16">
        <f ca="1">IFERROR(IF(0=LEN(ReferenceData!$P$16),"",ReferenceData!$P$16),"")</f>
        <v>12494.08502</v>
      </c>
      <c r="Q16">
        <f ca="1">IFERROR(IF(0=LEN(ReferenceData!$Q$16),"",ReferenceData!$Q$16),"")</f>
        <v>13170.156709999999</v>
      </c>
      <c r="R16">
        <f ca="1">IFERROR(IF(0=LEN(ReferenceData!$R$16),"",ReferenceData!$R$16),"")</f>
        <v>12024.33591</v>
      </c>
      <c r="S16">
        <f ca="1">IFERROR(IF(0=LEN(ReferenceData!$S$16),"",ReferenceData!$S$16),"")</f>
        <v>11939.782310000001</v>
      </c>
      <c r="T16">
        <f ca="1">IFERROR(IF(0=LEN(ReferenceData!$T$16),"",ReferenceData!$T$16),"")</f>
        <v>11761.384700000001</v>
      </c>
      <c r="U16">
        <f ca="1">IFERROR(IF(0=LEN(ReferenceData!$U$16),"",ReferenceData!$U$16),"")</f>
        <v>12546.4277</v>
      </c>
      <c r="V16">
        <f ca="1">IFERROR(IF(0=LEN(ReferenceData!$V$16),"",ReferenceData!$V$16),"")</f>
        <v>11571.386490000001</v>
      </c>
      <c r="W16">
        <f ca="1">IFERROR(IF(0=LEN(ReferenceData!$W$16),"",ReferenceData!$W$16),"")</f>
        <v>11150.081050000001</v>
      </c>
      <c r="X16">
        <f ca="1">IFERROR(IF(0=LEN(ReferenceData!$X$16),"",ReferenceData!$X$16),"")</f>
        <v>10643.27651</v>
      </c>
      <c r="Y16">
        <f ca="1">IFERROR(IF(0=LEN(ReferenceData!$Y$16),"",ReferenceData!$Y$16),"")</f>
        <v>13567.2783</v>
      </c>
      <c r="Z16">
        <f ca="1">IFERROR(IF(0=LEN(ReferenceData!$Z$16),"",ReferenceData!$Z$16),"")</f>
        <v>10137.505660000001</v>
      </c>
      <c r="AA16">
        <f ca="1">IFERROR(IF(0=LEN(ReferenceData!$AA$16),"",ReferenceData!$AA$16),"")</f>
        <v>11049.844160000001</v>
      </c>
      <c r="AB16">
        <f ca="1">IFERROR(IF(0=LEN(ReferenceData!$AB$16),"",ReferenceData!$AB$16),"")</f>
        <v>9964.2784339999998</v>
      </c>
      <c r="AC16">
        <f ca="1">IFERROR(IF(0=LEN(ReferenceData!$AC$16),"",ReferenceData!$AC$16),"")</f>
        <v>12814.588760000001</v>
      </c>
      <c r="AD16">
        <f ca="1">IFERROR(IF(0=LEN(ReferenceData!$AD$16),"",ReferenceData!$AD$16),"")</f>
        <v>9415.1214130000008</v>
      </c>
      <c r="AE16">
        <f ca="1">IFERROR(IF(0=LEN(ReferenceData!$AE$16),"",ReferenceData!$AE$16),"")</f>
        <v>10581.013150000001</v>
      </c>
      <c r="AF16">
        <f ca="1">IFERROR(IF(0=LEN(ReferenceData!$AF$16),"",ReferenceData!$AF$16),"")</f>
        <v>8441.0249270000004</v>
      </c>
      <c r="AG16">
        <f ca="1">IFERROR(IF(0=LEN(ReferenceData!$AG$16),"",ReferenceData!$AG$16),"")</f>
        <v>10551.70391</v>
      </c>
      <c r="AH16">
        <f ca="1">IFERROR(IF(0=LEN(ReferenceData!$AH$16),"",ReferenceData!$AH$16),"")</f>
        <v>9848.2986070000006</v>
      </c>
      <c r="AI16">
        <f ca="1">IFERROR(IF(0=LEN(ReferenceData!$AI$16),"",ReferenceData!$AI$16),"")</f>
        <v>9344.8794359999993</v>
      </c>
      <c r="AJ16">
        <f ca="1">IFERROR(IF(0=LEN(ReferenceData!$AJ$16),"",ReferenceData!$AJ$16),"")</f>
        <v>7823.2951050000001</v>
      </c>
      <c r="AK16">
        <f ca="1">IFERROR(IF(0=LEN(ReferenceData!$AK$16),"",ReferenceData!$AK$16),"")</f>
        <v>9307.8169240000007</v>
      </c>
      <c r="AL16">
        <f ca="1">IFERROR(IF(0=LEN(ReferenceData!$AL$16),"",ReferenceData!$AL$16),"")</f>
        <v>8844.2857999999997</v>
      </c>
      <c r="AM16">
        <f ca="1">IFERROR(IF(0=LEN(ReferenceData!$AM$16),"",ReferenceData!$AM$16),"")</f>
        <v>8222.5322789999991</v>
      </c>
      <c r="AN16">
        <f ca="1">IFERROR(IF(0=LEN(ReferenceData!$AN$16),"",ReferenceData!$AN$16),"")</f>
        <v>7560.5092850000001</v>
      </c>
      <c r="AO16">
        <f ca="1">IFERROR(IF(0=LEN(ReferenceData!$AO$16),"",ReferenceData!$AO$16),"")</f>
        <v>7688.0722960000003</v>
      </c>
      <c r="AP16">
        <f ca="1">IFERROR(IF(0=LEN(ReferenceData!$AP$16),"",ReferenceData!$AP$16),"")</f>
        <v>7753.9078929999996</v>
      </c>
      <c r="AQ16">
        <f ca="1">IFERROR(IF(0=LEN(ReferenceData!$AQ$16),"",ReferenceData!$AQ$16),"")</f>
        <v>7029.1110349999999</v>
      </c>
      <c r="AR16">
        <f ca="1">IFERROR(IF(0=LEN(ReferenceData!$AR$16),"",ReferenceData!$AR$16),"")</f>
        <v>5575.4319809999997</v>
      </c>
      <c r="AS16">
        <f ca="1">IFERROR(IF(0=LEN(ReferenceData!$AS$16),"",ReferenceData!$AS$16),"")</f>
        <v>5751.5357919999997</v>
      </c>
      <c r="AT16">
        <f ca="1">IFERROR(IF(0=LEN(ReferenceData!$AT$16),"",ReferenceData!$AT$16),"")</f>
        <v>6158.6011820000003</v>
      </c>
      <c r="AU16">
        <f ca="1">IFERROR(IF(0=LEN(ReferenceData!$AU$16),"",ReferenceData!$AU$16),"")</f>
        <v>8594.2787790000002</v>
      </c>
      <c r="AV16">
        <f ca="1">IFERROR(IF(0=LEN(ReferenceData!$AV$16),"",ReferenceData!$AV$16),"")</f>
        <v>7950.4809740000001</v>
      </c>
      <c r="AW16" t="str">
        <f ca="1">IFERROR(IF(0=LEN(ReferenceData!$AW$16),"",ReferenceData!$AW$16),"")</f>
        <v/>
      </c>
      <c r="AX16" t="str">
        <f ca="1">IFERROR(IF(0=LEN(ReferenceData!$AX$16),"",ReferenceData!$AX$16),"")</f>
        <v/>
      </c>
      <c r="AY16" t="str">
        <f ca="1">IFERROR(IF(0=LEN(ReferenceData!$AY$16),"",ReferenceData!$AY$16),"")</f>
        <v/>
      </c>
      <c r="AZ16" t="str">
        <f ca="1">IFERROR(IF(0=LEN(ReferenceData!$AZ$16),"",ReferenceData!$AZ$16),"")</f>
        <v/>
      </c>
      <c r="BA16" t="str">
        <f ca="1">IFERROR(IF(0=LEN(ReferenceData!$BA$16),"",ReferenceData!$BA$16),"")</f>
        <v/>
      </c>
      <c r="BB16" t="str">
        <f ca="1">IFERROR(IF(0=LEN(ReferenceData!$BB$16),"",ReferenceData!$BB$16),"")</f>
        <v/>
      </c>
      <c r="BC16" t="str">
        <f ca="1">IFERROR(IF(0=LEN(ReferenceData!$BC$16),"",ReferenceData!$BC$16),"")</f>
        <v/>
      </c>
      <c r="BD16" t="str">
        <f ca="1">IFERROR(IF(0=LEN(ReferenceData!$BD$16),"",ReferenceData!$BD$16),"")</f>
        <v/>
      </c>
      <c r="BE16" t="str">
        <f ca="1">IFERROR(IF(0=LEN(ReferenceData!$BE$16),"",ReferenceData!$BE$16),"")</f>
        <v/>
      </c>
      <c r="BF16" t="str">
        <f ca="1">IFERROR(IF(0=LEN(ReferenceData!$BF$16),"",ReferenceData!$BF$16),"")</f>
        <v/>
      </c>
      <c r="BG16" t="str">
        <f ca="1">IFERROR(IF(0=LEN(ReferenceData!$BG$16),"",ReferenceData!$BG$16),"")</f>
        <v/>
      </c>
      <c r="BH16" t="str">
        <f ca="1">IFERROR(IF(0=LEN(ReferenceData!$BH$16),"",ReferenceData!$BH$16),"")</f>
        <v/>
      </c>
      <c r="BI16" t="str">
        <f ca="1">IFERROR(IF(0=LEN(ReferenceData!$BI$16),"",ReferenceData!$BI$16),"")</f>
        <v/>
      </c>
      <c r="BJ16" t="str">
        <f ca="1">IFERROR(IF(0=LEN(ReferenceData!$BJ$16),"",ReferenceData!$BJ$16),"")</f>
        <v/>
      </c>
      <c r="BK16" t="str">
        <f ca="1">IFERROR(IF(0=LEN(ReferenceData!$BK$16),"",ReferenceData!$BK$16),"")</f>
        <v/>
      </c>
      <c r="BL16" t="str">
        <f ca="1">IFERROR(IF(0=LEN(ReferenceData!$BL$16),"",ReferenceData!$BL$16),"")</f>
        <v/>
      </c>
    </row>
    <row r="17" spans="1:64" x14ac:dyDescent="0.25">
      <c r="A17" t="str">
        <f>IFERROR(IF(0=LEN(ReferenceData!$A$17),"",ReferenceData!$A$17),"")</f>
        <v>By Geography ($M) - Fiat Chrysler</v>
      </c>
      <c r="B17" t="str">
        <f>IFERROR(IF(0=LEN(ReferenceData!$B$17),"",ReferenceData!$B$17),"")</f>
        <v>FCAU US Equity</v>
      </c>
      <c r="C17" t="str">
        <f>IFERROR(IF(0=LEN(ReferenceData!$C$17),"",ReferenceData!$C$17),"")</f>
        <v/>
      </c>
      <c r="D17" t="str">
        <f>IFERROR(IF(0=LEN(ReferenceData!$D$17),"",ReferenceData!$D$17),"")</f>
        <v/>
      </c>
      <c r="E17" t="str">
        <f>IFERROR(IF(0=LEN(ReferenceData!$E$17),"",ReferenceData!$E$17),"")</f>
        <v>Sum</v>
      </c>
      <c r="F17">
        <f ca="1">IFERROR(IF(0=LEN(ReferenceData!$F$17),"",ReferenceData!$F$17),"")</f>
        <v>65517.827940000003</v>
      </c>
      <c r="G17">
        <f ca="1">IFERROR(IF(0=LEN(ReferenceData!$G$17),"",ReferenceData!$G$17),"")</f>
        <v>65545.189230000004</v>
      </c>
      <c r="H17">
        <f ca="1">IFERROR(IF(0=LEN(ReferenceData!$H$17),"",ReferenceData!$H$17),"")</f>
        <v>69130.333799999993</v>
      </c>
      <c r="I17">
        <f ca="1">IFERROR(IF(0=LEN(ReferenceData!$I$17),"",ReferenceData!$I$17),"")</f>
        <v>66430.478260000004</v>
      </c>
      <c r="J17">
        <f ca="1">IFERROR(IF(0=LEN(ReferenceData!$J$17),"",ReferenceData!$J$17),"")</f>
        <v>61887.760250000007</v>
      </c>
      <c r="K17">
        <f ca="1">IFERROR(IF(0=LEN(ReferenceData!$K$17),"",ReferenceData!$K$17),"")</f>
        <v>29629.741184889997</v>
      </c>
      <c r="L17">
        <f ca="1">IFERROR(IF(0=LEN(ReferenceData!$L$17),"",ReferenceData!$L$17),"")</f>
        <v>30746.488300000001</v>
      </c>
      <c r="M17">
        <f ca="1">IFERROR(IF(0=LEN(ReferenceData!$M$17),"",ReferenceData!$M$17),"")</f>
        <v>29525.85022</v>
      </c>
      <c r="N17">
        <f ca="1">IFERROR(IF(0=LEN(ReferenceData!$N$17),"",ReferenceData!$N$17),"")</f>
        <v>32036.313880000002</v>
      </c>
      <c r="O17">
        <f ca="1">IFERROR(IF(0=LEN(ReferenceData!$O$17),"",ReferenceData!$O$17),"")</f>
        <v>29954.146000000001</v>
      </c>
      <c r="P17">
        <f ca="1">IFERROR(IF(0=LEN(ReferenceData!$P$17),"",ReferenceData!$P$17),"")</f>
        <v>31506.81064</v>
      </c>
      <c r="Q17">
        <f ca="1">IFERROR(IF(0=LEN(ReferenceData!$Q$17),"",ReferenceData!$Q$17),"")</f>
        <v>29318.509119999999</v>
      </c>
      <c r="R17">
        <f ca="1">IFERROR(IF(0=LEN(ReferenceData!$R$17),"",ReferenceData!$R$17),"")</f>
        <v>32213.027330000001</v>
      </c>
      <c r="S17">
        <f ca="1">IFERROR(IF(0=LEN(ReferenceData!$S$17),"",ReferenceData!$S$17),"")</f>
        <v>29798.529429999999</v>
      </c>
      <c r="T17">
        <f ca="1">IFERROR(IF(0=LEN(ReferenceData!$T$17),"",ReferenceData!$T$17),"")</f>
        <v>31589.380450000001</v>
      </c>
      <c r="U17">
        <f ca="1">IFERROR(IF(0=LEN(ReferenceData!$U$17),"",ReferenceData!$U$17),"")</f>
        <v>29111.626680000001</v>
      </c>
      <c r="V17">
        <f ca="1">IFERROR(IF(0=LEN(ReferenceData!$V$17),"",ReferenceData!$V$17),"")</f>
        <v>30761.164430000001</v>
      </c>
      <c r="W17">
        <f ca="1">IFERROR(IF(0=LEN(ReferenceData!$W$17),"",ReferenceData!$W$17),"")</f>
        <v>31214.65351</v>
      </c>
      <c r="X17">
        <f ca="1">IFERROR(IF(0=LEN(ReferenceData!$X$17),"",ReferenceData!$X$17),"")</f>
        <v>63986.152280000002</v>
      </c>
      <c r="Y17">
        <f ca="1">IFERROR(IF(0=LEN(ReferenceData!$Y$17),"",ReferenceData!$Y$17),"")</f>
        <v>60640.054799999998</v>
      </c>
      <c r="Z17">
        <f ca="1">IFERROR(IF(0=LEN(ReferenceData!$Z$17),"",ReferenceData!$Z$17),"")</f>
        <v>65277.172529999996</v>
      </c>
      <c r="AA17">
        <f ca="1">IFERROR(IF(0=LEN(ReferenceData!$AA$17),"",ReferenceData!$AA$17),"")</f>
        <v>54875.679000000004</v>
      </c>
      <c r="AB17">
        <f ca="1">IFERROR(IF(0=LEN(ReferenceData!$AB$17),"",ReferenceData!$AB$17),"")</f>
        <v>29104.02493</v>
      </c>
      <c r="AC17">
        <f ca="1">IFERROR(IF(0=LEN(ReferenceData!$AC$17),"",ReferenceData!$AC$17),"")</f>
        <v>26018.035879999999</v>
      </c>
      <c r="AD17">
        <f ca="1">IFERROR(IF(0=LEN(ReferenceData!$AD$17),"",ReferenceData!$AD$17),"")</f>
        <v>28253.430369999998</v>
      </c>
      <c r="AE17">
        <f ca="1">IFERROR(IF(0=LEN(ReferenceData!$AE$17),"",ReferenceData!$AE$17),"")</f>
        <v>25566.723160000001</v>
      </c>
      <c r="AF17">
        <f ca="1">IFERROR(IF(0=LEN(ReferenceData!$AF$17),"",ReferenceData!$AF$17),"")</f>
        <v>27619.6829</v>
      </c>
      <c r="AG17">
        <f ca="1">IFERROR(IF(0=LEN(ReferenceData!$AG$17),"",ReferenceData!$AG$17),"")</f>
        <v>26521.51051</v>
      </c>
      <c r="AH17">
        <f ca="1">IFERROR(IF(0=LEN(ReferenceData!$AH$17),"",ReferenceData!$AH$17),"")</f>
        <v>26470.296040000001</v>
      </c>
      <c r="AI17">
        <f ca="1">IFERROR(IF(0=LEN(ReferenceData!$AI$17),"",ReferenceData!$AI$17),"")</f>
        <v>24795.985649999999</v>
      </c>
      <c r="AJ17">
        <f ca="1">IFERROR(IF(0=LEN(ReferenceData!$AJ$17),"",ReferenceData!$AJ$17),"")</f>
        <v>18934.862519999999</v>
      </c>
      <c r="AK17">
        <f ca="1">IFERROR(IF(0=LEN(ReferenceData!$AK$17),"",ReferenceData!$AK$17),"")</f>
        <v>12609.752060000001</v>
      </c>
      <c r="AL17">
        <f ca="1">IFERROR(IF(0=LEN(ReferenceData!$AL$17),"",ReferenceData!$AL$17),"")</f>
        <v>12831.47739</v>
      </c>
      <c r="AM17">
        <f ca="1">IFERROR(IF(0=LEN(ReferenceData!$AM$17),"",ReferenceData!$AM$17),"")</f>
        <v>10915.26262</v>
      </c>
      <c r="AN17">
        <f ca="1">IFERROR(IF(0=LEN(ReferenceData!$AN$17),"",ReferenceData!$AN$17),"")</f>
        <v>11944.561750000001</v>
      </c>
      <c r="AO17">
        <f ca="1">IFERROR(IF(0=LEN(ReferenceData!$AO$17),"",ReferenceData!$AO$17),"")</f>
        <v>11905.64532</v>
      </c>
      <c r="AP17" t="str">
        <f ca="1">IFERROR(IF(0=LEN(ReferenceData!$AP$17),"",ReferenceData!$AP$17),"")</f>
        <v/>
      </c>
      <c r="AQ17">
        <f ca="1">IFERROR(IF(0=LEN(ReferenceData!$AQ$17),"",ReferenceData!$AQ$17),"")</f>
        <v>17236.550899999998</v>
      </c>
      <c r="AR17">
        <f ca="1">IFERROR(IF(0=LEN(ReferenceData!$AR$17),"",ReferenceData!$AR$17),"")</f>
        <v>17967.73935</v>
      </c>
      <c r="AS17">
        <f ca="1">IFERROR(IF(0=LEN(ReferenceData!$AS$17),"",ReferenceData!$AS$17),"")</f>
        <v>14705.461859999999</v>
      </c>
      <c r="AT17">
        <f ca="1">IFERROR(IF(0=LEN(ReferenceData!$AT$17),"",ReferenceData!$AT$17),"")</f>
        <v>17285.58282</v>
      </c>
      <c r="AU17">
        <f ca="1">IFERROR(IF(0=LEN(ReferenceData!$AU$17),"",ReferenceData!$AU$17),"")</f>
        <v>21491.967410000001</v>
      </c>
      <c r="AV17">
        <f ca="1">IFERROR(IF(0=LEN(ReferenceData!$AV$17),"",ReferenceData!$AV$17),"")</f>
        <v>26512.49324</v>
      </c>
      <c r="AW17">
        <f ca="1">IFERROR(IF(0=LEN(ReferenceData!$AW$17),"",ReferenceData!$AW$17),"")</f>
        <v>22524.146239999998</v>
      </c>
      <c r="AX17">
        <f ca="1">IFERROR(IF(0=LEN(ReferenceData!$AX$17),"",ReferenceData!$AX$17),"")</f>
        <v>22905.458500000001</v>
      </c>
      <c r="AY17">
        <f ca="1">IFERROR(IF(0=LEN(ReferenceData!$AY$17),"",ReferenceData!$AY$17),"")</f>
        <v>19049.312330000001</v>
      </c>
      <c r="AZ17">
        <f ca="1">IFERROR(IF(0=LEN(ReferenceData!$AZ$17),"",ReferenceData!$AZ$17),"")</f>
        <v>20466.14227</v>
      </c>
      <c r="BA17">
        <f ca="1">IFERROR(IF(0=LEN(ReferenceData!$BA$17),"",ReferenceData!$BA$17),"")</f>
        <v>17926.897400000002</v>
      </c>
      <c r="BB17">
        <f ca="1">IFERROR(IF(0=LEN(ReferenceData!$BB$17),"",ReferenceData!$BB$17),"")</f>
        <v>17875.288089999998</v>
      </c>
      <c r="BC17">
        <f ca="1">IFERROR(IF(0=LEN(ReferenceData!$BC$17),"",ReferenceData!$BC$17),"")</f>
        <v>15049.77385</v>
      </c>
      <c r="BD17">
        <f ca="1">IFERROR(IF(0=LEN(ReferenceData!$BD$17),"",ReferenceData!$BD$17),"")</f>
        <v>17121.323909999999</v>
      </c>
      <c r="BE17">
        <f ca="1">IFERROR(IF(0=LEN(ReferenceData!$BE$17),"",ReferenceData!$BE$17),"")</f>
        <v>15106.674129999999</v>
      </c>
      <c r="BF17">
        <f ca="1">IFERROR(IF(0=LEN(ReferenceData!$BF$17),"",ReferenceData!$BF$17),"")</f>
        <v>15619.32595</v>
      </c>
      <c r="BG17">
        <f ca="1">IFERROR(IF(0=LEN(ReferenceData!$BG$17),"",ReferenceData!$BG$17),"")</f>
        <v>12925.510120000001</v>
      </c>
      <c r="BH17">
        <f ca="1">IFERROR(IF(0=LEN(ReferenceData!$BH$17),"",ReferenceData!$BH$17),"")</f>
        <v>15171.30791</v>
      </c>
      <c r="BI17">
        <f ca="1">IFERROR(IF(0=LEN(ReferenceData!$BI$17),"",ReferenceData!$BI$17),"")</f>
        <v>14100.18311</v>
      </c>
      <c r="BJ17">
        <f ca="1">IFERROR(IF(0=LEN(ReferenceData!$BJ$17),"",ReferenceData!$BJ$17),"")</f>
        <v>14959.87442</v>
      </c>
      <c r="BK17">
        <f ca="1">IFERROR(IF(0=LEN(ReferenceData!$BK$17),"",ReferenceData!$BK$17),"")</f>
        <v>13019.801670000001</v>
      </c>
      <c r="BL17">
        <f ca="1">IFERROR(IF(0=LEN(ReferenceData!$BL$17),"",ReferenceData!$BL$17),"")</f>
        <v>14860.61968</v>
      </c>
    </row>
    <row r="18" spans="1:64" x14ac:dyDescent="0.25">
      <c r="A18" t="str">
        <f>IFERROR(IF(0=LEN(ReferenceData!$A$18),"",ReferenceData!$A$18),"")</f>
        <v xml:space="preserve">        Fiat Chrysler</v>
      </c>
      <c r="B18" t="str">
        <f>IFERROR(IF(0=LEN(ReferenceData!$B$18),"",ReferenceData!$B$18),"")</f>
        <v>FCAU US Equity</v>
      </c>
      <c r="C18" t="str">
        <f>IFERROR(IF(0=LEN(ReferenceData!$C$18),"",ReferenceData!$C$18),"")</f>
        <v>IS010</v>
      </c>
      <c r="D18" t="str">
        <f>IFERROR(IF(0=LEN(ReferenceData!$D$18),"",ReferenceData!$D$18),"")</f>
        <v>SALES_REV_TURN</v>
      </c>
      <c r="E18" t="str">
        <f>IFERROR(IF(0=LEN(ReferenceData!$E$18),"",ReferenceData!$E$18),"")</f>
        <v>Dynamic</v>
      </c>
      <c r="F18">
        <f ca="1">IFERROR(IF(0=LEN(ReferenceData!$F$18),"",ReferenceData!$F$18),"")</f>
        <v>30578.86607</v>
      </c>
      <c r="G18">
        <f ca="1">IFERROR(IF(0=LEN(ReferenceData!$G$18),"",ReferenceData!$G$18),"")</f>
        <v>32088.24539</v>
      </c>
      <c r="H18">
        <f ca="1">IFERROR(IF(0=LEN(ReferenceData!$H$18),"",ReferenceData!$H$18),"")</f>
        <v>34565.166899999997</v>
      </c>
      <c r="I18">
        <f ca="1">IFERROR(IF(0=LEN(ReferenceData!$I$18),"",ReferenceData!$I$18),"")</f>
        <v>33215.239130000002</v>
      </c>
      <c r="J18">
        <f ca="1">IFERROR(IF(0=LEN(ReferenceData!$J$18),"",ReferenceData!$J$18),"")</f>
        <v>27879.406650000001</v>
      </c>
      <c r="K18">
        <f ca="1">IFERROR(IF(0=LEN(ReferenceData!$K$18),"",ReferenceData!$K$18),"")</f>
        <v>29598.706719999998</v>
      </c>
      <c r="L18">
        <f ca="1">IFERROR(IF(0=LEN(ReferenceData!$L$18),"",ReferenceData!$L$18),"")</f>
        <v>30746.488300000001</v>
      </c>
      <c r="M18">
        <f ca="1">IFERROR(IF(0=LEN(ReferenceData!$M$18),"",ReferenceData!$M$18),"")</f>
        <v>29525.85022</v>
      </c>
      <c r="N18">
        <f ca="1">IFERROR(IF(0=LEN(ReferenceData!$N$18),"",ReferenceData!$N$18),"")</f>
        <v>32036.313880000002</v>
      </c>
      <c r="O18">
        <f ca="1">IFERROR(IF(0=LEN(ReferenceData!$O$18),"",ReferenceData!$O$18),"")</f>
        <v>29954.146000000001</v>
      </c>
      <c r="P18">
        <f ca="1">IFERROR(IF(0=LEN(ReferenceData!$P$18),"",ReferenceData!$P$18),"")</f>
        <v>31506.81064</v>
      </c>
      <c r="Q18">
        <f ca="1">IFERROR(IF(0=LEN(ReferenceData!$Q$18),"",ReferenceData!$Q$18),"")</f>
        <v>29318.509119999999</v>
      </c>
      <c r="R18">
        <f ca="1">IFERROR(IF(0=LEN(ReferenceData!$R$18),"",ReferenceData!$R$18),"")</f>
        <v>32213.027330000001</v>
      </c>
      <c r="S18">
        <f ca="1">IFERROR(IF(0=LEN(ReferenceData!$S$18),"",ReferenceData!$S$18),"")</f>
        <v>29798.529429999999</v>
      </c>
      <c r="T18">
        <f ca="1">IFERROR(IF(0=LEN(ReferenceData!$T$18),"",ReferenceData!$T$18),"")</f>
        <v>31589.380450000001</v>
      </c>
      <c r="U18">
        <f ca="1">IFERROR(IF(0=LEN(ReferenceData!$U$18),"",ReferenceData!$U$18),"")</f>
        <v>29111.626680000001</v>
      </c>
      <c r="V18">
        <f ca="1">IFERROR(IF(0=LEN(ReferenceData!$V$18),"",ReferenceData!$V$18),"")</f>
        <v>30761.164430000001</v>
      </c>
      <c r="W18">
        <f ca="1">IFERROR(IF(0=LEN(ReferenceData!$W$18),"",ReferenceData!$W$18),"")</f>
        <v>31214.65351</v>
      </c>
      <c r="X18">
        <f ca="1">IFERROR(IF(0=LEN(ReferenceData!$X$18),"",ReferenceData!$X$18),"")</f>
        <v>31993.076140000001</v>
      </c>
      <c r="Y18">
        <f ca="1">IFERROR(IF(0=LEN(ReferenceData!$Y$18),"",ReferenceData!$Y$18),"")</f>
        <v>30320.027399999999</v>
      </c>
      <c r="Z18">
        <f ca="1">IFERROR(IF(0=LEN(ReferenceData!$Z$18),"",ReferenceData!$Z$18),"")</f>
        <v>32599.101910000001</v>
      </c>
      <c r="AA18">
        <f ca="1">IFERROR(IF(0=LEN(ReferenceData!$AA$18),"",ReferenceData!$AA$18),"")</f>
        <v>27411.346150000001</v>
      </c>
      <c r="AB18" t="str">
        <f ca="1">IFERROR(IF(0=LEN(ReferenceData!$AB$18),"",ReferenceData!$AB$18),"")</f>
        <v/>
      </c>
      <c r="AC18" t="str">
        <f ca="1">IFERROR(IF(0=LEN(ReferenceData!$AC$18),"",ReferenceData!$AC$18),"")</f>
        <v/>
      </c>
      <c r="AD18" t="str">
        <f ca="1">IFERROR(IF(0=LEN(ReferenceData!$AD$18),"",ReferenceData!$AD$18),"")</f>
        <v/>
      </c>
      <c r="AE18" t="str">
        <f ca="1">IFERROR(IF(0=LEN(ReferenceData!$AE$18),"",ReferenceData!$AE$18),"")</f>
        <v/>
      </c>
      <c r="AF18" t="str">
        <f ca="1">IFERROR(IF(0=LEN(ReferenceData!$AF$18),"",ReferenceData!$AF$18),"")</f>
        <v/>
      </c>
      <c r="AG18" t="str">
        <f ca="1">IFERROR(IF(0=LEN(ReferenceData!$AG$18),"",ReferenceData!$AG$18),"")</f>
        <v/>
      </c>
      <c r="AH18" t="str">
        <f ca="1">IFERROR(IF(0=LEN(ReferenceData!$AH$18),"",ReferenceData!$AH$18),"")</f>
        <v/>
      </c>
      <c r="AI18" t="str">
        <f ca="1">IFERROR(IF(0=LEN(ReferenceData!$AI$18),"",ReferenceData!$AI$18),"")</f>
        <v/>
      </c>
      <c r="AJ18" t="str">
        <f ca="1">IFERROR(IF(0=LEN(ReferenceData!$AJ$18),"",ReferenceData!$AJ$18),"")</f>
        <v/>
      </c>
      <c r="AK18" t="str">
        <f ca="1">IFERROR(IF(0=LEN(ReferenceData!$AK$18),"",ReferenceData!$AK$18),"")</f>
        <v/>
      </c>
      <c r="AL18" t="str">
        <f ca="1">IFERROR(IF(0=LEN(ReferenceData!$AL$18),"",ReferenceData!$AL$18),"")</f>
        <v/>
      </c>
      <c r="AM18" t="str">
        <f ca="1">IFERROR(IF(0=LEN(ReferenceData!$AM$18),"",ReferenceData!$AM$18),"")</f>
        <v/>
      </c>
      <c r="AN18" t="str">
        <f ca="1">IFERROR(IF(0=LEN(ReferenceData!$AN$18),"",ReferenceData!$AN$18),"")</f>
        <v/>
      </c>
      <c r="AO18" t="str">
        <f ca="1">IFERROR(IF(0=LEN(ReferenceData!$AO$18),"",ReferenceData!$AO$18),"")</f>
        <v/>
      </c>
      <c r="AP18" t="str">
        <f ca="1">IFERROR(IF(0=LEN(ReferenceData!$AP$18),"",ReferenceData!$AP$18),"")</f>
        <v/>
      </c>
      <c r="AQ18" t="str">
        <f ca="1">IFERROR(IF(0=LEN(ReferenceData!$AQ$18),"",ReferenceData!$AQ$18),"")</f>
        <v/>
      </c>
      <c r="AR18" t="str">
        <f ca="1">IFERROR(IF(0=LEN(ReferenceData!$AR$18),"",ReferenceData!$AR$18),"")</f>
        <v/>
      </c>
      <c r="AS18" t="str">
        <f ca="1">IFERROR(IF(0=LEN(ReferenceData!$AS$18),"",ReferenceData!$AS$18),"")</f>
        <v/>
      </c>
      <c r="AT18" t="str">
        <f ca="1">IFERROR(IF(0=LEN(ReferenceData!$AT$18),"",ReferenceData!$AT$18),"")</f>
        <v/>
      </c>
      <c r="AU18" t="str">
        <f ca="1">IFERROR(IF(0=LEN(ReferenceData!$AU$18),"",ReferenceData!$AU$18),"")</f>
        <v/>
      </c>
      <c r="AV18" t="str">
        <f ca="1">IFERROR(IF(0=LEN(ReferenceData!$AV$18),"",ReferenceData!$AV$18),"")</f>
        <v/>
      </c>
      <c r="AW18" t="str">
        <f ca="1">IFERROR(IF(0=LEN(ReferenceData!$AW$18),"",ReferenceData!$AW$18),"")</f>
        <v/>
      </c>
      <c r="AX18" t="str">
        <f ca="1">IFERROR(IF(0=LEN(ReferenceData!$AX$18),"",ReferenceData!$AX$18),"")</f>
        <v/>
      </c>
      <c r="AY18" t="str">
        <f ca="1">IFERROR(IF(0=LEN(ReferenceData!$AY$18),"",ReferenceData!$AY$18),"")</f>
        <v/>
      </c>
      <c r="AZ18" t="str">
        <f ca="1">IFERROR(IF(0=LEN(ReferenceData!$AZ$18),"",ReferenceData!$AZ$18),"")</f>
        <v/>
      </c>
      <c r="BA18" t="str">
        <f ca="1">IFERROR(IF(0=LEN(ReferenceData!$BA$18),"",ReferenceData!$BA$18),"")</f>
        <v/>
      </c>
      <c r="BB18" t="str">
        <f ca="1">IFERROR(IF(0=LEN(ReferenceData!$BB$18),"",ReferenceData!$BB$18),"")</f>
        <v/>
      </c>
      <c r="BC18" t="str">
        <f ca="1">IFERROR(IF(0=LEN(ReferenceData!$BC$18),"",ReferenceData!$BC$18),"")</f>
        <v/>
      </c>
      <c r="BD18" t="str">
        <f ca="1">IFERROR(IF(0=LEN(ReferenceData!$BD$18),"",ReferenceData!$BD$18),"")</f>
        <v/>
      </c>
      <c r="BE18" t="str">
        <f ca="1">IFERROR(IF(0=LEN(ReferenceData!$BE$18),"",ReferenceData!$BE$18),"")</f>
        <v/>
      </c>
      <c r="BF18" t="str">
        <f ca="1">IFERROR(IF(0=LEN(ReferenceData!$BF$18),"",ReferenceData!$BF$18),"")</f>
        <v/>
      </c>
      <c r="BG18" t="str">
        <f ca="1">IFERROR(IF(0=LEN(ReferenceData!$BG$18),"",ReferenceData!$BG$18),"")</f>
        <v/>
      </c>
      <c r="BH18" t="str">
        <f ca="1">IFERROR(IF(0=LEN(ReferenceData!$BH$18),"",ReferenceData!$BH$18),"")</f>
        <v/>
      </c>
      <c r="BI18" t="str">
        <f ca="1">IFERROR(IF(0=LEN(ReferenceData!$BI$18),"",ReferenceData!$BI$18),"")</f>
        <v/>
      </c>
      <c r="BJ18" t="str">
        <f ca="1">IFERROR(IF(0=LEN(ReferenceData!$BJ$18),"",ReferenceData!$BJ$18),"")</f>
        <v/>
      </c>
      <c r="BK18" t="str">
        <f ca="1">IFERROR(IF(0=LEN(ReferenceData!$BK$18),"",ReferenceData!$BK$18),"")</f>
        <v/>
      </c>
      <c r="BL18" t="str">
        <f ca="1">IFERROR(IF(0=LEN(ReferenceData!$BL$18),"",ReferenceData!$BL$18),"")</f>
        <v/>
      </c>
    </row>
    <row r="19" spans="1:64" x14ac:dyDescent="0.25">
      <c r="A19" t="str">
        <f>IFERROR(IF(0=LEN(ReferenceData!$A$19),"",ReferenceData!$A$19),"")</f>
        <v xml:space="preserve">            Mass Market Brands - NAFTA</v>
      </c>
      <c r="B19" t="str">
        <f>IFERROR(IF(0=LEN(ReferenceData!$B$19),"",ReferenceData!$B$19),"")</f>
        <v>FCAU US Equity</v>
      </c>
      <c r="C19" t="str">
        <f>IFERROR(IF(0=LEN(ReferenceData!$C$19),"",ReferenceData!$C$19),"")</f>
        <v>BI047</v>
      </c>
      <c r="D19" t="str">
        <f>IFERROR(IF(0=LEN(ReferenceData!$D$19),"",ReferenceData!$D$19),"")</f>
        <v>BICS_SEGMENT_DATA</v>
      </c>
      <c r="E19" t="str">
        <f>IFERROR(IF(0=LEN(ReferenceData!$E$19),"",ReferenceData!$E$19),"")</f>
        <v>Dynamic</v>
      </c>
      <c r="F19">
        <f ca="1">IFERROR(IF(0=LEN(ReferenceData!$F$19),"",ReferenceData!$F$19),"")</f>
        <v>22090.315259999999</v>
      </c>
      <c r="G19">
        <f ca="1">IFERROR(IF(0=LEN(ReferenceData!$G$19),"",ReferenceData!$G$19),"")</f>
        <v>22179.42685</v>
      </c>
      <c r="H19">
        <f ca="1">IFERROR(IF(0=LEN(ReferenceData!$H$19),"",ReferenceData!$H$19),"")</f>
        <v>20909.821759999999</v>
      </c>
      <c r="I19">
        <f ca="1">IFERROR(IF(0=LEN(ReferenceData!$I$19),"",ReferenceData!$I$19),"")</f>
        <v>20171.003809999998</v>
      </c>
      <c r="J19">
        <f ca="1">IFERROR(IF(0=LEN(ReferenceData!$J$19),"",ReferenceData!$J$19),"")</f>
        <v>19770.682639999999</v>
      </c>
      <c r="K19">
        <f ca="1">IFERROR(IF(0=LEN(ReferenceData!$K$19),"",ReferenceData!$K$19),"")</f>
        <v>18946.838070000002</v>
      </c>
      <c r="L19">
        <f ca="1">IFERROR(IF(0=LEN(ReferenceData!$L$19),"",ReferenceData!$L$19),"")</f>
        <v>17705.793310000001</v>
      </c>
      <c r="M19">
        <f ca="1">IFERROR(IF(0=LEN(ReferenceData!$M$19),"",ReferenceData!$M$19),"")</f>
        <v>18214.655610000002</v>
      </c>
      <c r="N19">
        <f ca="1">IFERROR(IF(0=LEN(ReferenceData!$N$19),"",ReferenceData!$N$19),"")</f>
        <v>19046.725320000001</v>
      </c>
      <c r="O19">
        <f ca="1">IFERROR(IF(0=LEN(ReferenceData!$O$19),"",ReferenceData!$O$19),"")</f>
        <v>18763.198469999999</v>
      </c>
      <c r="P19">
        <f ca="1">IFERROR(IF(0=LEN(ReferenceData!$P$19),"",ReferenceData!$P$19),"")</f>
        <v>19743.575209999999</v>
      </c>
      <c r="Q19">
        <f ca="1">IFERROR(IF(0=LEN(ReferenceData!$Q$19),"",ReferenceData!$Q$19),"")</f>
        <v>18908.617699999999</v>
      </c>
      <c r="R19">
        <f ca="1">IFERROR(IF(0=LEN(ReferenceData!$R$19),"",ReferenceData!$R$19),"")</f>
        <v>20725.897270000001</v>
      </c>
      <c r="S19">
        <f ca="1">IFERROR(IF(0=LEN(ReferenceData!$S$19),"",ReferenceData!$S$19),"")</f>
        <v>19686.288710000001</v>
      </c>
      <c r="T19">
        <f ca="1">IFERROR(IF(0=LEN(ReferenceData!$T$19),"",ReferenceData!$T$19),"")</f>
        <v>19022.252710000001</v>
      </c>
      <c r="U19">
        <f ca="1">IFERROR(IF(0=LEN(ReferenceData!$U$19),"",ReferenceData!$U$19),"")</f>
        <v>18223.069490000002</v>
      </c>
      <c r="V19">
        <f ca="1">IFERROR(IF(0=LEN(ReferenceData!$V$19),"",ReferenceData!$V$19),"")</f>
        <v>19140.502090000002</v>
      </c>
      <c r="W19">
        <f ca="1">IFERROR(IF(0=LEN(ReferenceData!$W$19),"",ReferenceData!$W$19),"")</f>
        <v>17406.41358</v>
      </c>
      <c r="X19">
        <f ca="1">IFERROR(IF(0=LEN(ReferenceData!$X$19),"",ReferenceData!$X$19),"")</f>
        <v>16811.176579999999</v>
      </c>
      <c r="Y19" t="str">
        <f ca="1">IFERROR(IF(0=LEN(ReferenceData!$Y$19),"",ReferenceData!$Y$19),"")</f>
        <v/>
      </c>
      <c r="Z19" t="str">
        <f ca="1">IFERROR(IF(0=LEN(ReferenceData!$Z$19),"",ReferenceData!$Z$19),"")</f>
        <v/>
      </c>
      <c r="AA19" t="str">
        <f ca="1">IFERROR(IF(0=LEN(ReferenceData!$AA$19),"",ReferenceData!$AA$19),"")</f>
        <v/>
      </c>
      <c r="AB19" t="str">
        <f ca="1">IFERROR(IF(0=LEN(ReferenceData!$AB$19),"",ReferenceData!$AB$19),"")</f>
        <v/>
      </c>
      <c r="AC19" t="str">
        <f ca="1">IFERROR(IF(0=LEN(ReferenceData!$AC$19),"",ReferenceData!$AC$19),"")</f>
        <v/>
      </c>
      <c r="AD19" t="str">
        <f ca="1">IFERROR(IF(0=LEN(ReferenceData!$AD$19),"",ReferenceData!$AD$19),"")</f>
        <v/>
      </c>
      <c r="AE19" t="str">
        <f ca="1">IFERROR(IF(0=LEN(ReferenceData!$AE$19),"",ReferenceData!$AE$19),"")</f>
        <v/>
      </c>
      <c r="AF19" t="str">
        <f ca="1">IFERROR(IF(0=LEN(ReferenceData!$AF$19),"",ReferenceData!$AF$19),"")</f>
        <v/>
      </c>
      <c r="AG19" t="str">
        <f ca="1">IFERROR(IF(0=LEN(ReferenceData!$AG$19),"",ReferenceData!$AG$19),"")</f>
        <v/>
      </c>
      <c r="AH19" t="str">
        <f ca="1">IFERROR(IF(0=LEN(ReferenceData!$AH$19),"",ReferenceData!$AH$19),"")</f>
        <v/>
      </c>
      <c r="AI19" t="str">
        <f ca="1">IFERROR(IF(0=LEN(ReferenceData!$AI$19),"",ReferenceData!$AI$19),"")</f>
        <v/>
      </c>
      <c r="AJ19" t="str">
        <f ca="1">IFERROR(IF(0=LEN(ReferenceData!$AJ$19),"",ReferenceData!$AJ$19),"")</f>
        <v/>
      </c>
      <c r="AK19" t="str">
        <f ca="1">IFERROR(IF(0=LEN(ReferenceData!$AK$19),"",ReferenceData!$AK$19),"")</f>
        <v/>
      </c>
      <c r="AL19" t="str">
        <f ca="1">IFERROR(IF(0=LEN(ReferenceData!$AL$19),"",ReferenceData!$AL$19),"")</f>
        <v/>
      </c>
      <c r="AM19" t="str">
        <f ca="1">IFERROR(IF(0=LEN(ReferenceData!$AM$19),"",ReferenceData!$AM$19),"")</f>
        <v/>
      </c>
      <c r="AN19" t="str">
        <f ca="1">IFERROR(IF(0=LEN(ReferenceData!$AN$19),"",ReferenceData!$AN$19),"")</f>
        <v/>
      </c>
      <c r="AO19" t="str">
        <f ca="1">IFERROR(IF(0=LEN(ReferenceData!$AO$19),"",ReferenceData!$AO$19),"")</f>
        <v/>
      </c>
      <c r="AP19" t="str">
        <f ca="1">IFERROR(IF(0=LEN(ReferenceData!$AP$19),"",ReferenceData!$AP$19),"")</f>
        <v/>
      </c>
      <c r="AQ19" t="str">
        <f ca="1">IFERROR(IF(0=LEN(ReferenceData!$AQ$19),"",ReferenceData!$AQ$19),"")</f>
        <v/>
      </c>
      <c r="AR19" t="str">
        <f ca="1">IFERROR(IF(0=LEN(ReferenceData!$AR$19),"",ReferenceData!$AR$19),"")</f>
        <v/>
      </c>
      <c r="AS19" t="str">
        <f ca="1">IFERROR(IF(0=LEN(ReferenceData!$AS$19),"",ReferenceData!$AS$19),"")</f>
        <v/>
      </c>
      <c r="AT19" t="str">
        <f ca="1">IFERROR(IF(0=LEN(ReferenceData!$AT$19),"",ReferenceData!$AT$19),"")</f>
        <v/>
      </c>
      <c r="AU19" t="str">
        <f ca="1">IFERROR(IF(0=LEN(ReferenceData!$AU$19),"",ReferenceData!$AU$19),"")</f>
        <v/>
      </c>
      <c r="AV19" t="str">
        <f ca="1">IFERROR(IF(0=LEN(ReferenceData!$AV$19),"",ReferenceData!$AV$19),"")</f>
        <v/>
      </c>
      <c r="AW19" t="str">
        <f ca="1">IFERROR(IF(0=LEN(ReferenceData!$AW$19),"",ReferenceData!$AW$19),"")</f>
        <v/>
      </c>
      <c r="AX19" t="str">
        <f ca="1">IFERROR(IF(0=LEN(ReferenceData!$AX$19),"",ReferenceData!$AX$19),"")</f>
        <v/>
      </c>
      <c r="AY19" t="str">
        <f ca="1">IFERROR(IF(0=LEN(ReferenceData!$AY$19),"",ReferenceData!$AY$19),"")</f>
        <v/>
      </c>
      <c r="AZ19" t="str">
        <f ca="1">IFERROR(IF(0=LEN(ReferenceData!$AZ$19),"",ReferenceData!$AZ$19),"")</f>
        <v/>
      </c>
      <c r="BA19" t="str">
        <f ca="1">IFERROR(IF(0=LEN(ReferenceData!$BA$19),"",ReferenceData!$BA$19),"")</f>
        <v/>
      </c>
      <c r="BB19" t="str">
        <f ca="1">IFERROR(IF(0=LEN(ReferenceData!$BB$19),"",ReferenceData!$BB$19),"")</f>
        <v/>
      </c>
      <c r="BC19" t="str">
        <f ca="1">IFERROR(IF(0=LEN(ReferenceData!$BC$19),"",ReferenceData!$BC$19),"")</f>
        <v/>
      </c>
      <c r="BD19" t="str">
        <f ca="1">IFERROR(IF(0=LEN(ReferenceData!$BD$19),"",ReferenceData!$BD$19),"")</f>
        <v/>
      </c>
      <c r="BE19" t="str">
        <f ca="1">IFERROR(IF(0=LEN(ReferenceData!$BE$19),"",ReferenceData!$BE$19),"")</f>
        <v/>
      </c>
      <c r="BF19" t="str">
        <f ca="1">IFERROR(IF(0=LEN(ReferenceData!$BF$19),"",ReferenceData!$BF$19),"")</f>
        <v/>
      </c>
      <c r="BG19" t="str">
        <f ca="1">IFERROR(IF(0=LEN(ReferenceData!$BG$19),"",ReferenceData!$BG$19),"")</f>
        <v/>
      </c>
      <c r="BH19" t="str">
        <f ca="1">IFERROR(IF(0=LEN(ReferenceData!$BH$19),"",ReferenceData!$BH$19),"")</f>
        <v/>
      </c>
      <c r="BI19" t="str">
        <f ca="1">IFERROR(IF(0=LEN(ReferenceData!$BI$19),"",ReferenceData!$BI$19),"")</f>
        <v/>
      </c>
      <c r="BJ19" t="str">
        <f ca="1">IFERROR(IF(0=LEN(ReferenceData!$BJ$19),"",ReferenceData!$BJ$19),"")</f>
        <v/>
      </c>
      <c r="BK19" t="str">
        <f ca="1">IFERROR(IF(0=LEN(ReferenceData!$BK$19),"",ReferenceData!$BK$19),"")</f>
        <v/>
      </c>
      <c r="BL19" t="str">
        <f ca="1">IFERROR(IF(0=LEN(ReferenceData!$BL$19),"",ReferenceData!$BL$19),"")</f>
        <v/>
      </c>
    </row>
    <row r="20" spans="1:64" x14ac:dyDescent="0.25">
      <c r="A20" t="str">
        <f>IFERROR(IF(0=LEN(ReferenceData!$A$20),"",ReferenceData!$A$20),"")</f>
        <v xml:space="preserve">        F IM</v>
      </c>
      <c r="B20" t="str">
        <f>IFERROR(IF(0=LEN(ReferenceData!$B$20),"",ReferenceData!$B$20),"")</f>
        <v>F IM Equity</v>
      </c>
      <c r="C20" t="str">
        <f>IFERROR(IF(0=LEN(ReferenceData!$C$20),"",ReferenceData!$C$20),"")</f>
        <v>IS010</v>
      </c>
      <c r="D20" t="str">
        <f>IFERROR(IF(0=LEN(ReferenceData!$D$20),"",ReferenceData!$D$20),"")</f>
        <v>SALES_REV_TURN</v>
      </c>
      <c r="E20" t="str">
        <f>IFERROR(IF(0=LEN(ReferenceData!$E$20),"",ReferenceData!$E$20),"")</f>
        <v>Dynamic</v>
      </c>
      <c r="F20">
        <f ca="1">IFERROR(IF(0=LEN(ReferenceData!$F$20),"",ReferenceData!$F$20),"")</f>
        <v>34938.961869999999</v>
      </c>
      <c r="G20">
        <f ca="1">IFERROR(IF(0=LEN(ReferenceData!$G$20),"",ReferenceData!$G$20),"")</f>
        <v>33456.94384</v>
      </c>
      <c r="H20">
        <f ca="1">IFERROR(IF(0=LEN(ReferenceData!$H$20),"",ReferenceData!$H$20),"")</f>
        <v>34565.166899999997</v>
      </c>
      <c r="I20">
        <f ca="1">IFERROR(IF(0=LEN(ReferenceData!$I$20),"",ReferenceData!$I$20),"")</f>
        <v>33215.239130000002</v>
      </c>
      <c r="J20">
        <f ca="1">IFERROR(IF(0=LEN(ReferenceData!$J$20),"",ReferenceData!$J$20),"")</f>
        <v>34008.353600000002</v>
      </c>
      <c r="K20">
        <f ca="1">IFERROR(IF(0=LEN(ReferenceData!$K$20),"",ReferenceData!$K$20),"")</f>
        <v>31.034464889999999</v>
      </c>
      <c r="L20" t="str">
        <f ca="1">IFERROR(IF(0=LEN(ReferenceData!$L$20),"",ReferenceData!$L$20),"")</f>
        <v/>
      </c>
      <c r="M20" t="str">
        <f ca="1">IFERROR(IF(0=LEN(ReferenceData!$M$20),"",ReferenceData!$M$20),"")</f>
        <v/>
      </c>
      <c r="N20" t="str">
        <f ca="1">IFERROR(IF(0=LEN(ReferenceData!$N$20),"",ReferenceData!$N$20),"")</f>
        <v/>
      </c>
      <c r="O20" t="str">
        <f ca="1">IFERROR(IF(0=LEN(ReferenceData!$O$20),"",ReferenceData!$O$20),"")</f>
        <v/>
      </c>
      <c r="P20" t="str">
        <f ca="1">IFERROR(IF(0=LEN(ReferenceData!$P$20),"",ReferenceData!$P$20),"")</f>
        <v/>
      </c>
      <c r="Q20" t="str">
        <f ca="1">IFERROR(IF(0=LEN(ReferenceData!$Q$20),"",ReferenceData!$Q$20),"")</f>
        <v/>
      </c>
      <c r="R20" t="str">
        <f ca="1">IFERROR(IF(0=LEN(ReferenceData!$R$20),"",ReferenceData!$R$20),"")</f>
        <v/>
      </c>
      <c r="S20" t="str">
        <f ca="1">IFERROR(IF(0=LEN(ReferenceData!$S$20),"",ReferenceData!$S$20),"")</f>
        <v/>
      </c>
      <c r="T20" t="str">
        <f ca="1">IFERROR(IF(0=LEN(ReferenceData!$T$20),"",ReferenceData!$T$20),"")</f>
        <v/>
      </c>
      <c r="U20" t="str">
        <f ca="1">IFERROR(IF(0=LEN(ReferenceData!$U$20),"",ReferenceData!$U$20),"")</f>
        <v/>
      </c>
      <c r="V20" t="str">
        <f ca="1">IFERROR(IF(0=LEN(ReferenceData!$V$20),"",ReferenceData!$V$20),"")</f>
        <v/>
      </c>
      <c r="W20" t="str">
        <f ca="1">IFERROR(IF(0=LEN(ReferenceData!$W$20),"",ReferenceData!$W$20),"")</f>
        <v/>
      </c>
      <c r="X20">
        <f ca="1">IFERROR(IF(0=LEN(ReferenceData!$X$20),"",ReferenceData!$X$20),"")</f>
        <v>31993.076140000001</v>
      </c>
      <c r="Y20">
        <f ca="1">IFERROR(IF(0=LEN(ReferenceData!$Y$20),"",ReferenceData!$Y$20),"")</f>
        <v>30320.027399999999</v>
      </c>
      <c r="Z20">
        <f ca="1">IFERROR(IF(0=LEN(ReferenceData!$Z$20),"",ReferenceData!$Z$20),"")</f>
        <v>32678.070619999999</v>
      </c>
      <c r="AA20">
        <f ca="1">IFERROR(IF(0=LEN(ReferenceData!$AA$20),"",ReferenceData!$AA$20),"")</f>
        <v>27464.332849999999</v>
      </c>
      <c r="AB20">
        <f ca="1">IFERROR(IF(0=LEN(ReferenceData!$AB$20),"",ReferenceData!$AB$20),"")</f>
        <v>29104.02493</v>
      </c>
      <c r="AC20">
        <f ca="1">IFERROR(IF(0=LEN(ReferenceData!$AC$20),"",ReferenceData!$AC$20),"")</f>
        <v>26018.035879999999</v>
      </c>
      <c r="AD20">
        <f ca="1">IFERROR(IF(0=LEN(ReferenceData!$AD$20),"",ReferenceData!$AD$20),"")</f>
        <v>28253.430369999998</v>
      </c>
      <c r="AE20">
        <f ca="1">IFERROR(IF(0=LEN(ReferenceData!$AE$20),"",ReferenceData!$AE$20),"")</f>
        <v>25566.723160000001</v>
      </c>
      <c r="AF20">
        <f ca="1">IFERROR(IF(0=LEN(ReferenceData!$AF$20),"",ReferenceData!$AF$20),"")</f>
        <v>27619.6829</v>
      </c>
      <c r="AG20">
        <f ca="1">IFERROR(IF(0=LEN(ReferenceData!$AG$20),"",ReferenceData!$AG$20),"")</f>
        <v>26521.51051</v>
      </c>
      <c r="AH20">
        <f ca="1">IFERROR(IF(0=LEN(ReferenceData!$AH$20),"",ReferenceData!$AH$20),"")</f>
        <v>26470.296040000001</v>
      </c>
      <c r="AI20">
        <f ca="1">IFERROR(IF(0=LEN(ReferenceData!$AI$20),"",ReferenceData!$AI$20),"")</f>
        <v>24795.985649999999</v>
      </c>
      <c r="AJ20">
        <f ca="1">IFERROR(IF(0=LEN(ReferenceData!$AJ$20),"",ReferenceData!$AJ$20),"")</f>
        <v>18934.862519999999</v>
      </c>
      <c r="AK20">
        <f ca="1">IFERROR(IF(0=LEN(ReferenceData!$AK$20),"",ReferenceData!$AK$20),"")</f>
        <v>12609.752060000001</v>
      </c>
      <c r="AL20">
        <f ca="1">IFERROR(IF(0=LEN(ReferenceData!$AL$20),"",ReferenceData!$AL$20),"")</f>
        <v>12831.47739</v>
      </c>
      <c r="AM20">
        <f ca="1">IFERROR(IF(0=LEN(ReferenceData!$AM$20),"",ReferenceData!$AM$20),"")</f>
        <v>10915.26262</v>
      </c>
      <c r="AN20">
        <f ca="1">IFERROR(IF(0=LEN(ReferenceData!$AN$20),"",ReferenceData!$AN$20),"")</f>
        <v>11944.561750000001</v>
      </c>
      <c r="AO20">
        <f ca="1">IFERROR(IF(0=LEN(ReferenceData!$AO$20),"",ReferenceData!$AO$20),"")</f>
        <v>11905.64532</v>
      </c>
      <c r="AP20" t="str">
        <f ca="1">IFERROR(IF(0=LEN(ReferenceData!$AP$20),"",ReferenceData!$AP$20),"")</f>
        <v/>
      </c>
      <c r="AQ20">
        <f ca="1">IFERROR(IF(0=LEN(ReferenceData!$AQ$20),"",ReferenceData!$AQ$20),"")</f>
        <v>17236.550899999998</v>
      </c>
      <c r="AR20">
        <f ca="1">IFERROR(IF(0=LEN(ReferenceData!$AR$20),"",ReferenceData!$AR$20),"")</f>
        <v>17967.73935</v>
      </c>
      <c r="AS20">
        <f ca="1">IFERROR(IF(0=LEN(ReferenceData!$AS$20),"",ReferenceData!$AS$20),"")</f>
        <v>14705.461859999999</v>
      </c>
      <c r="AT20">
        <f ca="1">IFERROR(IF(0=LEN(ReferenceData!$AT$20),"",ReferenceData!$AT$20),"")</f>
        <v>17285.58282</v>
      </c>
      <c r="AU20">
        <f ca="1">IFERROR(IF(0=LEN(ReferenceData!$AU$20),"",ReferenceData!$AU$20),"")</f>
        <v>21491.967410000001</v>
      </c>
      <c r="AV20">
        <f ca="1">IFERROR(IF(0=LEN(ReferenceData!$AV$20),"",ReferenceData!$AV$20),"")</f>
        <v>26512.49324</v>
      </c>
      <c r="AW20">
        <f ca="1">IFERROR(IF(0=LEN(ReferenceData!$AW$20),"",ReferenceData!$AW$20),"")</f>
        <v>22524.146239999998</v>
      </c>
      <c r="AX20">
        <f ca="1">IFERROR(IF(0=LEN(ReferenceData!$AX$20),"",ReferenceData!$AX$20),"")</f>
        <v>22905.458500000001</v>
      </c>
      <c r="AY20">
        <f ca="1">IFERROR(IF(0=LEN(ReferenceData!$AY$20),"",ReferenceData!$AY$20),"")</f>
        <v>19049.312330000001</v>
      </c>
      <c r="AZ20">
        <f ca="1">IFERROR(IF(0=LEN(ReferenceData!$AZ$20),"",ReferenceData!$AZ$20),"")</f>
        <v>20466.14227</v>
      </c>
      <c r="BA20">
        <f ca="1">IFERROR(IF(0=LEN(ReferenceData!$BA$20),"",ReferenceData!$BA$20),"")</f>
        <v>17926.897400000002</v>
      </c>
      <c r="BB20">
        <f ca="1">IFERROR(IF(0=LEN(ReferenceData!$BB$20),"",ReferenceData!$BB$20),"")</f>
        <v>17875.288089999998</v>
      </c>
      <c r="BC20">
        <f ca="1">IFERROR(IF(0=LEN(ReferenceData!$BC$20),"",ReferenceData!$BC$20),"")</f>
        <v>15049.77385</v>
      </c>
      <c r="BD20">
        <f ca="1">IFERROR(IF(0=LEN(ReferenceData!$BD$20),"",ReferenceData!$BD$20),"")</f>
        <v>17121.323909999999</v>
      </c>
      <c r="BE20">
        <f ca="1">IFERROR(IF(0=LEN(ReferenceData!$BE$20),"",ReferenceData!$BE$20),"")</f>
        <v>15106.674129999999</v>
      </c>
      <c r="BF20">
        <f ca="1">IFERROR(IF(0=LEN(ReferenceData!$BF$20),"",ReferenceData!$BF$20),"")</f>
        <v>15619.32595</v>
      </c>
      <c r="BG20">
        <f ca="1">IFERROR(IF(0=LEN(ReferenceData!$BG$20),"",ReferenceData!$BG$20),"")</f>
        <v>12925.510120000001</v>
      </c>
      <c r="BH20">
        <f ca="1">IFERROR(IF(0=LEN(ReferenceData!$BH$20),"",ReferenceData!$BH$20),"")</f>
        <v>15171.30791</v>
      </c>
      <c r="BI20">
        <f ca="1">IFERROR(IF(0=LEN(ReferenceData!$BI$20),"",ReferenceData!$BI$20),"")</f>
        <v>14100.18311</v>
      </c>
      <c r="BJ20">
        <f ca="1">IFERROR(IF(0=LEN(ReferenceData!$BJ$20),"",ReferenceData!$BJ$20),"")</f>
        <v>14959.87442</v>
      </c>
      <c r="BK20">
        <f ca="1">IFERROR(IF(0=LEN(ReferenceData!$BK$20),"",ReferenceData!$BK$20),"")</f>
        <v>13019.801670000001</v>
      </c>
      <c r="BL20">
        <f ca="1">IFERROR(IF(0=LEN(ReferenceData!$BL$20),"",ReferenceData!$BL$20),"")</f>
        <v>14860.61968</v>
      </c>
    </row>
    <row r="21" spans="1:64" x14ac:dyDescent="0.25">
      <c r="A21" t="str">
        <f>IFERROR(IF(0=LEN(ReferenceData!$A$21),"",ReferenceData!$A$21),"")</f>
        <v>By Geography ($M) - BMW</v>
      </c>
      <c r="B21" t="str">
        <f>IFERROR(IF(0=LEN(ReferenceData!$B$21),"",ReferenceData!$B$21),"")</f>
        <v>BMW GR Equity</v>
      </c>
      <c r="C21" t="str">
        <f>IFERROR(IF(0=LEN(ReferenceData!$C$21),"",ReferenceData!$C$21),"")</f>
        <v>IS010</v>
      </c>
      <c r="D21" t="str">
        <f>IFERROR(IF(0=LEN(ReferenceData!$D$21),"",ReferenceData!$D$21),"")</f>
        <v>SALES_REV_TURN</v>
      </c>
      <c r="E21" t="str">
        <f>IFERROR(IF(0=LEN(ReferenceData!$E$21),"",ReferenceData!$E$21),"")</f>
        <v>Dynamic</v>
      </c>
      <c r="F21" t="str">
        <f ca="1">IFERROR(IF(0=LEN(ReferenceData!$F$21),"",ReferenceData!$F$21),"")</f>
        <v/>
      </c>
      <c r="G21">
        <f ca="1">IFERROR(IF(0=LEN(ReferenceData!$G$21),"",ReferenceData!$G$21),"")</f>
        <v>28772.90193</v>
      </c>
      <c r="H21">
        <f ca="1">IFERROR(IF(0=LEN(ReferenceData!$H$21),"",ReferenceData!$H$21),"")</f>
        <v>29832.172289999999</v>
      </c>
      <c r="I21">
        <f ca="1">IFERROR(IF(0=LEN(ReferenceData!$I$21),"",ReferenceData!$I$21),"")</f>
        <v>27890.133460000001</v>
      </c>
      <c r="J21">
        <f ca="1">IFERROR(IF(0=LEN(ReferenceData!$J$21),"",ReferenceData!$J$21),"")</f>
        <v>30629.424159999999</v>
      </c>
      <c r="K21">
        <f ca="1">IFERROR(IF(0=LEN(ReferenceData!$K$21),"",ReferenceData!$K$21),"")</f>
        <v>27766.998889999999</v>
      </c>
      <c r="L21">
        <f ca="1">IFERROR(IF(0=LEN(ReferenceData!$L$21),"",ReferenceData!$L$21),"")</f>
        <v>28368.246050000002</v>
      </c>
      <c r="M21">
        <f ca="1">IFERROR(IF(0=LEN(ReferenceData!$M$21),"",ReferenceData!$M$21),"")</f>
        <v>25485.60527</v>
      </c>
      <c r="N21">
        <f ca="1">IFERROR(IF(0=LEN(ReferenceData!$N$21),"",ReferenceData!$N$21),"")</f>
        <v>26878.207549999999</v>
      </c>
      <c r="O21">
        <f ca="1">IFERROR(IF(0=LEN(ReferenceData!$O$21),"",ReferenceData!$O$21),"")</f>
        <v>26076.492719999998</v>
      </c>
      <c r="P21">
        <f ca="1">IFERROR(IF(0=LEN(ReferenceData!$P$21),"",ReferenceData!$P$21),"")</f>
        <v>28254.808069999999</v>
      </c>
      <c r="Q21">
        <f ca="1">IFERROR(IF(0=LEN(ReferenceData!$Q$21),"",ReferenceData!$Q$21),"")</f>
        <v>23010.119340000001</v>
      </c>
      <c r="R21">
        <f ca="1">IFERROR(IF(0=LEN(ReferenceData!$R$21),"",ReferenceData!$R$21),"")</f>
        <v>27354.89891</v>
      </c>
      <c r="S21">
        <f ca="1">IFERROR(IF(0=LEN(ReferenceData!$S$21),"",ReferenceData!$S$21),"")</f>
        <v>24846.934099999999</v>
      </c>
      <c r="T21">
        <f ca="1">IFERROR(IF(0=LEN(ReferenceData!$T$21),"",ReferenceData!$T$21),"")</f>
        <v>26492.355329999999</v>
      </c>
      <c r="U21">
        <f ca="1">IFERROR(IF(0=LEN(ReferenceData!$U$21),"",ReferenceData!$U$21),"")</f>
        <v>23562.585429999999</v>
      </c>
      <c r="V21">
        <f ca="1">IFERROR(IF(0=LEN(ReferenceData!$V$21),"",ReferenceData!$V$21),"")</f>
        <v>28297.424180000002</v>
      </c>
      <c r="W21">
        <f ca="1">IFERROR(IF(0=LEN(ReferenceData!$W$21),"",ReferenceData!$W$21),"")</f>
        <v>25975.765670000001</v>
      </c>
      <c r="X21">
        <f ca="1">IFERROR(IF(0=LEN(ReferenceData!$X$21),"",ReferenceData!$X$21),"")</f>
        <v>27298.618849999999</v>
      </c>
      <c r="Y21">
        <f ca="1">IFERROR(IF(0=LEN(ReferenceData!$Y$21),"",ReferenceData!$Y$21),"")</f>
        <v>24989.18417</v>
      </c>
      <c r="Z21">
        <f ca="1">IFERROR(IF(0=LEN(ReferenceData!$Z$21),"",ReferenceData!$Z$21),"")</f>
        <v>27516.51211</v>
      </c>
      <c r="AA21">
        <f ca="1">IFERROR(IF(0=LEN(ReferenceData!$AA$21),"",ReferenceData!$AA$21),"")</f>
        <v>24838.841710000001</v>
      </c>
      <c r="AB21">
        <f ca="1">IFERROR(IF(0=LEN(ReferenceData!$AB$21),"",ReferenceData!$AB$21),"")</f>
        <v>25539.333760000001</v>
      </c>
      <c r="AC21">
        <f ca="1">IFERROR(IF(0=LEN(ReferenceData!$AC$21),"",ReferenceData!$AC$21),"")</f>
        <v>23164.989979999998</v>
      </c>
      <c r="AD21">
        <f ca="1">IFERROR(IF(0=LEN(ReferenceData!$AD$21),"",ReferenceData!$AD$21),"")</f>
        <v>26645.806929999999</v>
      </c>
      <c r="AE21">
        <f ca="1">IFERROR(IF(0=LEN(ReferenceData!$AE$21),"",ReferenceData!$AE$21),"")</f>
        <v>23540.100289999998</v>
      </c>
      <c r="AF21">
        <f ca="1">IFERROR(IF(0=LEN(ReferenceData!$AF$21),"",ReferenceData!$AF$21),"")</f>
        <v>24640.083210000001</v>
      </c>
      <c r="AG21">
        <f ca="1">IFERROR(IF(0=LEN(ReferenceData!$AG$21),"",ReferenceData!$AG$21),"")</f>
        <v>23992.77938</v>
      </c>
      <c r="AH21">
        <f ca="1">IFERROR(IF(0=LEN(ReferenceData!$AH$21),"",ReferenceData!$AH$21),"")</f>
        <v>24725.283149999999</v>
      </c>
      <c r="AI21">
        <f ca="1">IFERROR(IF(0=LEN(ReferenceData!$AI$21),"",ReferenceData!$AI$21),"")</f>
        <v>23376.206389999999</v>
      </c>
      <c r="AJ21">
        <f ca="1">IFERROR(IF(0=LEN(ReferenceData!$AJ$21),"",ReferenceData!$AJ$21),"")</f>
        <v>25751.297859999999</v>
      </c>
      <c r="AK21">
        <f ca="1">IFERROR(IF(0=LEN(ReferenceData!$AK$21),"",ReferenceData!$AK$21),"")</f>
        <v>21956.850569999999</v>
      </c>
      <c r="AL21">
        <f ca="1">IFERROR(IF(0=LEN(ReferenceData!$AL$21),"",ReferenceData!$AL$21),"")</f>
        <v>22733.38133</v>
      </c>
      <c r="AM21">
        <f ca="1">IFERROR(IF(0=LEN(ReferenceData!$AM$21),"",ReferenceData!$AM$21),"")</f>
        <v>20605.078890000001</v>
      </c>
      <c r="AN21">
        <f ca="1">IFERROR(IF(0=LEN(ReferenceData!$AN$21),"",ReferenceData!$AN$21),"")</f>
        <v>19542.173930000001</v>
      </c>
      <c r="AO21">
        <f ca="1">IFERROR(IF(0=LEN(ReferenceData!$AO$21),"",ReferenceData!$AO$21),"")</f>
        <v>17219.800620000002</v>
      </c>
      <c r="AP21">
        <f ca="1">IFERROR(IF(0=LEN(ReferenceData!$AP$21),"",ReferenceData!$AP$21),"")</f>
        <v>21318.032039999998</v>
      </c>
      <c r="AQ21">
        <f ca="1">IFERROR(IF(0=LEN(ReferenceData!$AQ$21),"",ReferenceData!$AQ$21),"")</f>
        <v>16821.694920000002</v>
      </c>
      <c r="AR21">
        <f ca="1">IFERROR(IF(0=LEN(ReferenceData!$AR$21),"",ReferenceData!$AR$21),"")</f>
        <v>17677.453519999999</v>
      </c>
      <c r="AS21">
        <f ca="1">IFERROR(IF(0=LEN(ReferenceData!$AS$21),"",ReferenceData!$AS$21),"")</f>
        <v>15019.9823</v>
      </c>
      <c r="AT21">
        <f ca="1">IFERROR(IF(0=LEN(ReferenceData!$AT$21),"",ReferenceData!$AT$21),"")</f>
        <v>16863.081559999999</v>
      </c>
      <c r="AU21">
        <f ca="1">IFERROR(IF(0=LEN(ReferenceData!$AU$21),"",ReferenceData!$AU$21),"")</f>
        <v>18924.236550000001</v>
      </c>
      <c r="AV21">
        <f ca="1">IFERROR(IF(0=LEN(ReferenceData!$AV$21),"",ReferenceData!$AV$21),"")</f>
        <v>22738.834309999998</v>
      </c>
      <c r="AW21">
        <f ca="1">IFERROR(IF(0=LEN(ReferenceData!$AW$21),"",ReferenceData!$AW$21),"")</f>
        <v>19915.6927</v>
      </c>
      <c r="AX21">
        <f ca="1">IFERROR(IF(0=LEN(ReferenceData!$AX$21),"",ReferenceData!$AX$21),"")</f>
        <v>22601.326840000002</v>
      </c>
      <c r="AY21">
        <f ca="1">IFERROR(IF(0=LEN(ReferenceData!$AY$21),"",ReferenceData!$AY$21),"")</f>
        <v>18939.343720000001</v>
      </c>
      <c r="AZ21">
        <f ca="1">IFERROR(IF(0=LEN(ReferenceData!$AZ$21),"",ReferenceData!$AZ$21),"")</f>
        <v>19797.375779999998</v>
      </c>
      <c r="BA21">
        <f ca="1">IFERROR(IF(0=LEN(ReferenceData!$BA$21),"",ReferenceData!$BA$21),"")</f>
        <v>15665.71738</v>
      </c>
      <c r="BB21">
        <f ca="1">IFERROR(IF(0=LEN(ReferenceData!$BB$21),"",ReferenceData!$BB$21),"")</f>
        <v>16291.41813</v>
      </c>
      <c r="BC21">
        <f ca="1">IFERROR(IF(0=LEN(ReferenceData!$BC$21),"",ReferenceData!$BC$21),"")</f>
        <v>14728.61685</v>
      </c>
      <c r="BD21">
        <f ca="1">IFERROR(IF(0=LEN(ReferenceData!$BD$21),"",ReferenceData!$BD$21),"")</f>
        <v>16599.178889999999</v>
      </c>
      <c r="BE21">
        <f ca="1">IFERROR(IF(0=LEN(ReferenceData!$BE$21),"",ReferenceData!$BE$21),"")</f>
        <v>13978.1252</v>
      </c>
      <c r="BF21">
        <f ca="1">IFERROR(IF(0=LEN(ReferenceData!$BF$21),"",ReferenceData!$BF$21),"")</f>
        <v>14762.283789999999</v>
      </c>
      <c r="BG21">
        <f ca="1">IFERROR(IF(0=LEN(ReferenceData!$BG$21),"",ReferenceData!$BG$21),"")</f>
        <v>14296.489960000001</v>
      </c>
      <c r="BH21">
        <f ca="1">IFERROR(IF(0=LEN(ReferenceData!$BH$21),"",ReferenceData!$BH$21),"")</f>
        <v>15306.00173</v>
      </c>
      <c r="BI21">
        <f ca="1">IFERROR(IF(0=LEN(ReferenceData!$BI$21),"",ReferenceData!$BI$21),"")</f>
        <v>13578.39111</v>
      </c>
      <c r="BJ21">
        <f ca="1">IFERROR(IF(0=LEN(ReferenceData!$BJ$21),"",ReferenceData!$BJ$21),"")</f>
        <v>14292.56769</v>
      </c>
      <c r="BK21">
        <f ca="1">IFERROR(IF(0=LEN(ReferenceData!$BK$21),"",ReferenceData!$BK$21),"")</f>
        <v>12974.56006</v>
      </c>
      <c r="BL21">
        <f ca="1">IFERROR(IF(0=LEN(ReferenceData!$BL$21),"",ReferenceData!$BL$21),"")</f>
        <v>14352.090529999999</v>
      </c>
    </row>
    <row r="22" spans="1:64" x14ac:dyDescent="0.25">
      <c r="A22" t="str">
        <f>IFERROR(IF(0=LEN(ReferenceData!$A$22),"",ReferenceData!$A$22),"")</f>
        <v>By Geography ($M) - Hyundai</v>
      </c>
      <c r="B22" t="str">
        <f>IFERROR(IF(0=LEN(ReferenceData!$B$22),"",ReferenceData!$B$22),"")</f>
        <v>005380 KS Equity</v>
      </c>
      <c r="C22" t="str">
        <f>IFERROR(IF(0=LEN(ReferenceData!$C$22),"",ReferenceData!$C$22),"")</f>
        <v>IS010</v>
      </c>
      <c r="D22" t="str">
        <f>IFERROR(IF(0=LEN(ReferenceData!$D$22),"",ReferenceData!$D$22),"")</f>
        <v>SALES_REV_TURN</v>
      </c>
      <c r="E22" t="str">
        <f>IFERROR(IF(0=LEN(ReferenceData!$E$22),"",ReferenceData!$E$22),"")</f>
        <v>Dynamic</v>
      </c>
      <c r="F22">
        <f ca="1">IFERROR(IF(0=LEN(ReferenceData!$F$22),"",ReferenceData!$F$22),"")</f>
        <v>22763.178329999999</v>
      </c>
      <c r="G22">
        <f ca="1">IFERROR(IF(0=LEN(ReferenceData!$G$22),"",ReferenceData!$G$22),"")</f>
        <v>21788.597969999999</v>
      </c>
      <c r="H22">
        <f ca="1">IFERROR(IF(0=LEN(ReferenceData!$H$22),"",ReferenceData!$H$22),"")</f>
        <v>22876.333559999999</v>
      </c>
      <c r="I22">
        <f ca="1">IFERROR(IF(0=LEN(ReferenceData!$I$22),"",ReferenceData!$I$22),"")</f>
        <v>20928.832050000001</v>
      </c>
      <c r="J22">
        <f ca="1">IFERROR(IF(0=LEN(ReferenceData!$J$22),"",ReferenceData!$J$22),"")</f>
        <v>22144.763869999999</v>
      </c>
      <c r="K22">
        <f ca="1">IFERROR(IF(0=LEN(ReferenceData!$K$22),"",ReferenceData!$K$22),"")</f>
        <v>21366.097949999999</v>
      </c>
      <c r="L22">
        <f ca="1">IFERROR(IF(0=LEN(ReferenceData!$L$22),"",ReferenceData!$L$22),"")</f>
        <v>21499.731970000001</v>
      </c>
      <c r="M22">
        <f ca="1">IFERROR(IF(0=LEN(ReferenceData!$M$22),"",ReferenceData!$M$22),"")</f>
        <v>20286.929940000002</v>
      </c>
      <c r="N22">
        <f ca="1">IFERROR(IF(0=LEN(ReferenceData!$N$22),"",ReferenceData!$N$22),"")</f>
        <v>21174.095679999999</v>
      </c>
      <c r="O22">
        <f ca="1">IFERROR(IF(0=LEN(ReferenceData!$O$22),"",ReferenceData!$O$22),"")</f>
        <v>19711.726180000001</v>
      </c>
      <c r="P22">
        <f ca="1">IFERROR(IF(0=LEN(ReferenceData!$P$22),"",ReferenceData!$P$22),"")</f>
        <v>21218.643049999999</v>
      </c>
      <c r="Q22">
        <f ca="1">IFERROR(IF(0=LEN(ReferenceData!$Q$22),"",ReferenceData!$Q$22),"")</f>
        <v>18628.859489999999</v>
      </c>
      <c r="R22">
        <f ca="1">IFERROR(IF(0=LEN(ReferenceData!$R$22),"",ReferenceData!$R$22),"")</f>
        <v>21387.761859999999</v>
      </c>
      <c r="S22">
        <f ca="1">IFERROR(IF(0=LEN(ReferenceData!$S$22),"",ReferenceData!$S$22),"")</f>
        <v>20032.715980000001</v>
      </c>
      <c r="T22">
        <f ca="1">IFERROR(IF(0=LEN(ReferenceData!$T$22),"",ReferenceData!$T$22),"")</f>
        <v>20792.145329999999</v>
      </c>
      <c r="U22">
        <f ca="1">IFERROR(IF(0=LEN(ReferenceData!$U$22),"",ReferenceData!$U$22),"")</f>
        <v>19014.591540000001</v>
      </c>
      <c r="V22">
        <f ca="1">IFERROR(IF(0=LEN(ReferenceData!$V$22),"",ReferenceData!$V$22),"")</f>
        <v>21681.033899999999</v>
      </c>
      <c r="W22">
        <f ca="1">IFERROR(IF(0=LEN(ReferenceData!$W$22),"",ReferenceData!$W$22),"")</f>
        <v>20720.410909999999</v>
      </c>
      <c r="X22">
        <f ca="1">IFERROR(IF(0=LEN(ReferenceData!$X$22),"",ReferenceData!$X$22),"")</f>
        <v>22112.446240000001</v>
      </c>
      <c r="Y22">
        <f ca="1">IFERROR(IF(0=LEN(ReferenceData!$Y$22),"",ReferenceData!$Y$22),"")</f>
        <v>20243.33712</v>
      </c>
      <c r="Z22">
        <f ca="1">IFERROR(IF(0=LEN(ReferenceData!$Z$22),"",ReferenceData!$Z$22),"")</f>
        <v>20655.435259999998</v>
      </c>
      <c r="AA22">
        <f ca="1">IFERROR(IF(0=LEN(ReferenceData!$AA$22),"",ReferenceData!$AA$22),"")</f>
        <v>18776.680560000001</v>
      </c>
      <c r="AB22">
        <f ca="1">IFERROR(IF(0=LEN(ReferenceData!$AB$22),"",ReferenceData!$AB$22),"")</f>
        <v>20653.334569999999</v>
      </c>
      <c r="AC22">
        <f ca="1">IFERROR(IF(0=LEN(ReferenceData!$AC$22),"",ReferenceData!$AC$22),"")</f>
        <v>19692.00244</v>
      </c>
      <c r="AD22">
        <f ca="1">IFERROR(IF(0=LEN(ReferenceData!$AD$22),"",ReferenceData!$AD$22),"")</f>
        <v>20844.402709999998</v>
      </c>
      <c r="AE22">
        <f ca="1">IFERROR(IF(0=LEN(ReferenceData!$AE$22),"",ReferenceData!$AE$22),"")</f>
        <v>17340.681349999999</v>
      </c>
      <c r="AF22">
        <f ca="1">IFERROR(IF(0=LEN(ReferenceData!$AF$22),"",ReferenceData!$AF$22),"")</f>
        <v>19038.22018</v>
      </c>
      <c r="AG22">
        <f ca="1">IFERROR(IF(0=LEN(ReferenceData!$AG$22),"",ReferenceData!$AG$22),"")</f>
        <v>17835.252619999999</v>
      </c>
      <c r="AH22">
        <f ca="1">IFERROR(IF(0=LEN(ReferenceData!$AH$22),"",ReferenceData!$AH$22),"")</f>
        <v>17927.31596</v>
      </c>
      <c r="AI22">
        <f ca="1">IFERROR(IF(0=LEN(ReferenceData!$AI$22),"",ReferenceData!$AI$22),"")</f>
        <v>17487.99525</v>
      </c>
      <c r="AJ22">
        <f ca="1">IFERROR(IF(0=LEN(ReferenceData!$AJ$22),"",ReferenceData!$AJ$22),"")</f>
        <v>18550.088100000001</v>
      </c>
      <c r="AK22">
        <f ca="1">IFERROR(IF(0=LEN(ReferenceData!$AK$22),"",ReferenceData!$AK$22),"")</f>
        <v>16299.969489999999</v>
      </c>
      <c r="AL22">
        <f ca="1">IFERROR(IF(0=LEN(ReferenceData!$AL$22),"",ReferenceData!$AL$22),"")</f>
        <v>16366.69716</v>
      </c>
      <c r="AM22">
        <f ca="1">IFERROR(IF(0=LEN(ReferenceData!$AM$22),"",ReferenceData!$AM$22),"")</f>
        <v>14012.11047</v>
      </c>
      <c r="AN22">
        <f ca="1">IFERROR(IF(0=LEN(ReferenceData!$AN$22),"",ReferenceData!$AN$22),"")</f>
        <v>14469.949559999999</v>
      </c>
      <c r="AO22">
        <f ca="1">IFERROR(IF(0=LEN(ReferenceData!$AO$22),"",ReferenceData!$AO$22),"")</f>
        <v>13129.652669999999</v>
      </c>
      <c r="AP22" t="str">
        <f ca="1">IFERROR(IF(0=LEN(ReferenceData!$AP$22),"",ReferenceData!$AP$22),"")</f>
        <v/>
      </c>
      <c r="AQ22" t="str">
        <f ca="1">IFERROR(IF(0=LEN(ReferenceData!$AQ$22),"",ReferenceData!$AQ$22),"")</f>
        <v/>
      </c>
      <c r="AR22" t="str">
        <f ca="1">IFERROR(IF(0=LEN(ReferenceData!$AR$22),"",ReferenceData!$AR$22),"")</f>
        <v/>
      </c>
      <c r="AS22" t="str">
        <f ca="1">IFERROR(IF(0=LEN(ReferenceData!$AS$22),"",ReferenceData!$AS$22),"")</f>
        <v/>
      </c>
      <c r="AT22" t="str">
        <f ca="1">IFERROR(IF(0=LEN(ReferenceData!$AT$22),"",ReferenceData!$AT$22),"")</f>
        <v/>
      </c>
      <c r="AU22" t="str">
        <f ca="1">IFERROR(IF(0=LEN(ReferenceData!$AU$22),"",ReferenceData!$AU$22),"")</f>
        <v/>
      </c>
      <c r="AV22" t="str">
        <f ca="1">IFERROR(IF(0=LEN(ReferenceData!$AV$22),"",ReferenceData!$AV$22),"")</f>
        <v/>
      </c>
      <c r="AW22" t="str">
        <f ca="1">IFERROR(IF(0=LEN(ReferenceData!$AW$22),"",ReferenceData!$AW$22),"")</f>
        <v/>
      </c>
      <c r="AX22" t="str">
        <f ca="1">IFERROR(IF(0=LEN(ReferenceData!$AX$22),"",ReferenceData!$AX$22),"")</f>
        <v/>
      </c>
      <c r="AY22" t="str">
        <f ca="1">IFERROR(IF(0=LEN(ReferenceData!$AY$22),"",ReferenceData!$AY$22),"")</f>
        <v/>
      </c>
      <c r="AZ22" t="str">
        <f ca="1">IFERROR(IF(0=LEN(ReferenceData!$AZ$22),"",ReferenceData!$AZ$22),"")</f>
        <v/>
      </c>
      <c r="BA22" t="str">
        <f ca="1">IFERROR(IF(0=LEN(ReferenceData!$BA$22),"",ReferenceData!$BA$22),"")</f>
        <v/>
      </c>
      <c r="BB22" t="str">
        <f ca="1">IFERROR(IF(0=LEN(ReferenceData!$BB$22),"",ReferenceData!$BB$22),"")</f>
        <v/>
      </c>
      <c r="BC22" t="str">
        <f ca="1">IFERROR(IF(0=LEN(ReferenceData!$BC$22),"",ReferenceData!$BC$22),"")</f>
        <v/>
      </c>
      <c r="BD22" t="str">
        <f ca="1">IFERROR(IF(0=LEN(ReferenceData!$BD$22),"",ReferenceData!$BD$22),"")</f>
        <v/>
      </c>
      <c r="BE22" t="str">
        <f ca="1">IFERROR(IF(0=LEN(ReferenceData!$BE$22),"",ReferenceData!$BE$22),"")</f>
        <v/>
      </c>
      <c r="BF22" t="str">
        <f ca="1">IFERROR(IF(0=LEN(ReferenceData!$BF$22),"",ReferenceData!$BF$22),"")</f>
        <v/>
      </c>
      <c r="BG22" t="str">
        <f ca="1">IFERROR(IF(0=LEN(ReferenceData!$BG$22),"",ReferenceData!$BG$22),"")</f>
        <v/>
      </c>
      <c r="BH22" t="str">
        <f ca="1">IFERROR(IF(0=LEN(ReferenceData!$BH$22),"",ReferenceData!$BH$22),"")</f>
        <v/>
      </c>
      <c r="BI22" t="str">
        <f ca="1">IFERROR(IF(0=LEN(ReferenceData!$BI$22),"",ReferenceData!$BI$22),"")</f>
        <v/>
      </c>
      <c r="BJ22" t="str">
        <f ca="1">IFERROR(IF(0=LEN(ReferenceData!$BJ$22),"",ReferenceData!$BJ$22),"")</f>
        <v/>
      </c>
      <c r="BK22" t="str">
        <f ca="1">IFERROR(IF(0=LEN(ReferenceData!$BK$22),"",ReferenceData!$BK$22),"")</f>
        <v/>
      </c>
      <c r="BL22" t="str">
        <f ca="1">IFERROR(IF(0=LEN(ReferenceData!$BL$22),"",ReferenceData!$BL$22),"")</f>
        <v/>
      </c>
    </row>
    <row r="23" spans="1:64" x14ac:dyDescent="0.25">
      <c r="A23" t="str">
        <f>IFERROR(IF(0=LEN(ReferenceData!$A$23),"",ReferenceData!$A$23),"")</f>
        <v>By Geography ($M) - Kia</v>
      </c>
      <c r="B23" t="str">
        <f>IFERROR(IF(0=LEN(ReferenceData!$B$23),"",ReferenceData!$B$23),"")</f>
        <v>000270 KS Equity</v>
      </c>
      <c r="C23" t="str">
        <f>IFERROR(IF(0=LEN(ReferenceData!$C$23),"",ReferenceData!$C$23),"")</f>
        <v>IS010</v>
      </c>
      <c r="D23" t="str">
        <f>IFERROR(IF(0=LEN(ReferenceData!$D$23),"",ReferenceData!$D$23),"")</f>
        <v>SALES_REV_TURN</v>
      </c>
      <c r="E23" t="str">
        <f>IFERROR(IF(0=LEN(ReferenceData!$E$23),"",ReferenceData!$E$23),"")</f>
        <v>Dynamic</v>
      </c>
      <c r="F23">
        <f ca="1">IFERROR(IF(0=LEN(ReferenceData!$F$23),"",ReferenceData!$F$23),"")</f>
        <v>11947.71889</v>
      </c>
      <c r="G23">
        <f ca="1">IFERROR(IF(0=LEN(ReferenceData!$G$23),"",ReferenceData!$G$23),"")</f>
        <v>12550.65569</v>
      </c>
      <c r="H23">
        <f ca="1">IFERROR(IF(0=LEN(ReferenceData!$H$23),"",ReferenceData!$H$23),"")</f>
        <v>13015.811439999999</v>
      </c>
      <c r="I23">
        <f ca="1">IFERROR(IF(0=LEN(ReferenceData!$I$23),"",ReferenceData!$I$23),"")</f>
        <v>11718.025540000001</v>
      </c>
      <c r="J23">
        <f ca="1">IFERROR(IF(0=LEN(ReferenceData!$J$23),"",ReferenceData!$J$23),"")</f>
        <v>11754.983389999999</v>
      </c>
      <c r="K23">
        <f ca="1">IFERROR(IF(0=LEN(ReferenceData!$K$23),"",ReferenceData!$K$23),"")</f>
        <v>12454.97826</v>
      </c>
      <c r="L23">
        <f ca="1">IFERROR(IF(0=LEN(ReferenceData!$L$23),"",ReferenceData!$L$23),"")</f>
        <v>12009.74416</v>
      </c>
      <c r="M23">
        <f ca="1">IFERROR(IF(0=LEN(ReferenceData!$M$23),"",ReferenceData!$M$23),"")</f>
        <v>11151.402700000001</v>
      </c>
      <c r="N23">
        <f ca="1">IFERROR(IF(0=LEN(ReferenceData!$N$23),"",ReferenceData!$N$23),"")</f>
        <v>11144.229859999999</v>
      </c>
      <c r="O23">
        <f ca="1">IFERROR(IF(0=LEN(ReferenceData!$O$23),"",ReferenceData!$O$23),"")</f>
        <v>11334.907310000001</v>
      </c>
      <c r="P23">
        <f ca="1">IFERROR(IF(0=LEN(ReferenceData!$P$23),"",ReferenceData!$P$23),"")</f>
        <v>12425.02709</v>
      </c>
      <c r="Q23">
        <f ca="1">IFERROR(IF(0=LEN(ReferenceData!$Q$23),"",ReferenceData!$Q$23),"")</f>
        <v>10543.02916</v>
      </c>
      <c r="R23">
        <f ca="1">IFERROR(IF(0=LEN(ReferenceData!$R$23),"",ReferenceData!$R$23),"")</f>
        <v>11047.439050000001</v>
      </c>
      <c r="S23">
        <f ca="1">IFERROR(IF(0=LEN(ReferenceData!$S$23),"",ReferenceData!$S$23),"")</f>
        <v>11210.05775</v>
      </c>
      <c r="T23">
        <f ca="1">IFERROR(IF(0=LEN(ReferenceData!$T$23),"",ReferenceData!$T$23),"")</f>
        <v>11334.74604</v>
      </c>
      <c r="U23">
        <f ca="1">IFERROR(IF(0=LEN(ReferenceData!$U$23),"",ReferenceData!$U$23),"")</f>
        <v>10148.55883</v>
      </c>
      <c r="V23">
        <f ca="1">IFERROR(IF(0=LEN(ReferenceData!$V$23),"",ReferenceData!$V$23),"")</f>
        <v>10762.17295</v>
      </c>
      <c r="W23">
        <f ca="1">IFERROR(IF(0=LEN(ReferenceData!$W$23),"",ReferenceData!$W$23),"")</f>
        <v>11114.407660000001</v>
      </c>
      <c r="X23">
        <f ca="1">IFERROR(IF(0=LEN(ReferenceData!$X$23),"",ReferenceData!$X$23),"")</f>
        <v>11715.326880000001</v>
      </c>
      <c r="Y23">
        <f ca="1">IFERROR(IF(0=LEN(ReferenceData!$Y$23),"",ReferenceData!$Y$23),"")</f>
        <v>11151.461880000001</v>
      </c>
      <c r="Z23">
        <f ca="1">IFERROR(IF(0=LEN(ReferenceData!$Z$23),"",ReferenceData!$Z$23),"")</f>
        <v>11078.83986</v>
      </c>
      <c r="AA23">
        <f ca="1">IFERROR(IF(0=LEN(ReferenceData!$AA$23),"",ReferenceData!$AA$23),"")</f>
        <v>10492.3824</v>
      </c>
      <c r="AB23">
        <f ca="1">IFERROR(IF(0=LEN(ReferenceData!$AB$23),"",ReferenceData!$AB$23),"")</f>
        <v>11681.57192</v>
      </c>
      <c r="AC23">
        <f ca="1">IFERROR(IF(0=LEN(ReferenceData!$AC$23),"",ReferenceData!$AC$23),"")</f>
        <v>10215.831889999999</v>
      </c>
      <c r="AD23">
        <f ca="1">IFERROR(IF(0=LEN(ReferenceData!$AD$23),"",ReferenceData!$AD$23),"")</f>
        <v>10346.54983</v>
      </c>
      <c r="AE23">
        <f ca="1">IFERROR(IF(0=LEN(ReferenceData!$AE$23),"",ReferenceData!$AE$23),"")</f>
        <v>10261.07199</v>
      </c>
      <c r="AF23">
        <f ca="1">IFERROR(IF(0=LEN(ReferenceData!$AF$23),"",ReferenceData!$AF$23),"")</f>
        <v>10890.79974</v>
      </c>
      <c r="AG23">
        <f ca="1">IFERROR(IF(0=LEN(ReferenceData!$AG$23),"",ReferenceData!$AG$23),"")</f>
        <v>10427.92751</v>
      </c>
      <c r="AH23">
        <f ca="1">IFERROR(IF(0=LEN(ReferenceData!$AH$23),"",ReferenceData!$AH$23),"")</f>
        <v>9577.9693939999997</v>
      </c>
      <c r="AI23">
        <f ca="1">IFERROR(IF(0=LEN(ReferenceData!$AI$23),"",ReferenceData!$AI$23),"")</f>
        <v>9217.3230999999996</v>
      </c>
      <c r="AJ23">
        <f ca="1">IFERROR(IF(0=LEN(ReferenceData!$AJ$23),"",ReferenceData!$AJ$23),"")</f>
        <v>10692.02081</v>
      </c>
      <c r="AK23">
        <f ca="1">IFERROR(IF(0=LEN(ReferenceData!$AK$23),"",ReferenceData!$AK$23),"")</f>
        <v>9527.7143340000002</v>
      </c>
      <c r="AL23">
        <f ca="1">IFERROR(IF(0=LEN(ReferenceData!$AL$23),"",ReferenceData!$AL$23),"")</f>
        <v>8903.0238379999992</v>
      </c>
      <c r="AM23">
        <f ca="1">IFERROR(IF(0=LEN(ReferenceData!$AM$23),"",ReferenceData!$AM$23),"")</f>
        <v>7360.3727010000002</v>
      </c>
      <c r="AN23">
        <f ca="1">IFERROR(IF(0=LEN(ReferenceData!$AN$23),"",ReferenceData!$AN$23),"")</f>
        <v>7935.2179610000003</v>
      </c>
      <c r="AO23">
        <f ca="1">IFERROR(IF(0=LEN(ReferenceData!$AO$23),"",ReferenceData!$AO$23),"")</f>
        <v>6813.1380300000001</v>
      </c>
      <c r="AP23" t="str">
        <f ca="1">IFERROR(IF(0=LEN(ReferenceData!$AP$23),"",ReferenceData!$AP$23),"")</f>
        <v/>
      </c>
      <c r="AQ23" t="str">
        <f ca="1">IFERROR(IF(0=LEN(ReferenceData!$AQ$23),"",ReferenceData!$AQ$23),"")</f>
        <v/>
      </c>
      <c r="AR23" t="str">
        <f ca="1">IFERROR(IF(0=LEN(ReferenceData!$AR$23),"",ReferenceData!$AR$23),"")</f>
        <v/>
      </c>
      <c r="AS23" t="str">
        <f ca="1">IFERROR(IF(0=LEN(ReferenceData!$AS$23),"",ReferenceData!$AS$23),"")</f>
        <v/>
      </c>
      <c r="AT23" t="str">
        <f ca="1">IFERROR(IF(0=LEN(ReferenceData!$AT$23),"",ReferenceData!$AT$23),"")</f>
        <v/>
      </c>
      <c r="AU23" t="str">
        <f ca="1">IFERROR(IF(0=LEN(ReferenceData!$AU$23),"",ReferenceData!$AU$23),"")</f>
        <v/>
      </c>
      <c r="AV23" t="str">
        <f ca="1">IFERROR(IF(0=LEN(ReferenceData!$AV$23),"",ReferenceData!$AV$23),"")</f>
        <v/>
      </c>
      <c r="AW23" t="str">
        <f ca="1">IFERROR(IF(0=LEN(ReferenceData!$AW$23),"",ReferenceData!$AW$23),"")</f>
        <v/>
      </c>
      <c r="AX23" t="str">
        <f ca="1">IFERROR(IF(0=LEN(ReferenceData!$AX$23),"",ReferenceData!$AX$23),"")</f>
        <v/>
      </c>
      <c r="AY23" t="str">
        <f ca="1">IFERROR(IF(0=LEN(ReferenceData!$AY$23),"",ReferenceData!$AY$23),"")</f>
        <v/>
      </c>
      <c r="AZ23" t="str">
        <f ca="1">IFERROR(IF(0=LEN(ReferenceData!$AZ$23),"",ReferenceData!$AZ$23),"")</f>
        <v/>
      </c>
      <c r="BA23" t="str">
        <f ca="1">IFERROR(IF(0=LEN(ReferenceData!$BA$23),"",ReferenceData!$BA$23),"")</f>
        <v/>
      </c>
      <c r="BB23" t="str">
        <f ca="1">IFERROR(IF(0=LEN(ReferenceData!$BB$23),"",ReferenceData!$BB$23),"")</f>
        <v/>
      </c>
      <c r="BC23" t="str">
        <f ca="1">IFERROR(IF(0=LEN(ReferenceData!$BC$23),"",ReferenceData!$BC$23),"")</f>
        <v/>
      </c>
      <c r="BD23" t="str">
        <f ca="1">IFERROR(IF(0=LEN(ReferenceData!$BD$23),"",ReferenceData!$BD$23),"")</f>
        <v/>
      </c>
      <c r="BE23" t="str">
        <f ca="1">IFERROR(IF(0=LEN(ReferenceData!$BE$23),"",ReferenceData!$BE$23),"")</f>
        <v/>
      </c>
      <c r="BF23" t="str">
        <f ca="1">IFERROR(IF(0=LEN(ReferenceData!$BF$23),"",ReferenceData!$BF$23),"")</f>
        <v/>
      </c>
      <c r="BG23" t="str">
        <f ca="1">IFERROR(IF(0=LEN(ReferenceData!$BG$23),"",ReferenceData!$BG$23),"")</f>
        <v/>
      </c>
      <c r="BH23" t="str">
        <f ca="1">IFERROR(IF(0=LEN(ReferenceData!$BH$23),"",ReferenceData!$BH$23),"")</f>
        <v/>
      </c>
      <c r="BI23" t="str">
        <f ca="1">IFERROR(IF(0=LEN(ReferenceData!$BI$23),"",ReferenceData!$BI$23),"")</f>
        <v/>
      </c>
      <c r="BJ23" t="str">
        <f ca="1">IFERROR(IF(0=LEN(ReferenceData!$BJ$23),"",ReferenceData!$BJ$23),"")</f>
        <v/>
      </c>
      <c r="BK23" t="str">
        <f ca="1">IFERROR(IF(0=LEN(ReferenceData!$BK$23),"",ReferenceData!$BK$23),"")</f>
        <v/>
      </c>
      <c r="BL23" t="str">
        <f ca="1">IFERROR(IF(0=LEN(ReferenceData!$BL$23),"",ReferenceData!$BL$23),"")</f>
        <v/>
      </c>
    </row>
    <row r="24" spans="1:64" x14ac:dyDescent="0.25">
      <c r="A24" t="str">
        <f>IFERROR(IF(0=LEN(ReferenceData!$A$24),"",ReferenceData!$A$24),"")</f>
        <v xml:space="preserve">        North America</v>
      </c>
      <c r="B24" t="str">
        <f>IFERROR(IF(0=LEN(ReferenceData!$B$24),"",ReferenceData!$B$24),"")</f>
        <v>000270 KS Equity</v>
      </c>
      <c r="C24" t="str">
        <f>IFERROR(IF(0=LEN(ReferenceData!$C$24),"",ReferenceData!$C$24),"")</f>
        <v>BI047</v>
      </c>
      <c r="D24" t="str">
        <f>IFERROR(IF(0=LEN(ReferenceData!$D$24),"",ReferenceData!$D$24),"")</f>
        <v>BICS_SEGMENT_DATA</v>
      </c>
      <c r="E24" t="str">
        <f>IFERROR(IF(0=LEN(ReferenceData!$E$24),"",ReferenceData!$E$24),"")</f>
        <v>Dynamic</v>
      </c>
      <c r="F24">
        <f ca="1">IFERROR(IF(0=LEN(ReferenceData!$F$24),"",ReferenceData!$F$24),"")</f>
        <v>3259.9582519999999</v>
      </c>
      <c r="G24">
        <f ca="1">IFERROR(IF(0=LEN(ReferenceData!$G$24),"",ReferenceData!$G$24),"")</f>
        <v>4742.412816</v>
      </c>
      <c r="H24">
        <f ca="1">IFERROR(IF(0=LEN(ReferenceData!$H$24),"",ReferenceData!$H$24),"")</f>
        <v>4299.2336530000002</v>
      </c>
      <c r="I24">
        <f ca="1">IFERROR(IF(0=LEN(ReferenceData!$I$24),"",ReferenceData!$I$24),"")</f>
        <v>4124.2666950000003</v>
      </c>
      <c r="J24">
        <f ca="1">IFERROR(IF(0=LEN(ReferenceData!$J$24),"",ReferenceData!$J$24),"")</f>
        <v>4236.4680859999999</v>
      </c>
      <c r="K24">
        <f ca="1">IFERROR(IF(0=LEN(ReferenceData!$K$24),"",ReferenceData!$K$24),"")</f>
        <v>4837.9844940000003</v>
      </c>
      <c r="L24">
        <f ca="1">IFERROR(IF(0=LEN(ReferenceData!$L$24),"",ReferenceData!$L$24),"")</f>
        <v>4509.1686289999998</v>
      </c>
      <c r="M24">
        <f ca="1">IFERROR(IF(0=LEN(ReferenceData!$M$24),"",ReferenceData!$M$24),"")</f>
        <v>4177.0537329999997</v>
      </c>
      <c r="N24">
        <f ca="1">IFERROR(IF(0=LEN(ReferenceData!$N$24),"",ReferenceData!$N$24),"")</f>
        <v>3778.5865669999998</v>
      </c>
      <c r="O24">
        <f ca="1">IFERROR(IF(0=LEN(ReferenceData!$O$24),"",ReferenceData!$O$24),"")</f>
        <v>4622.112717</v>
      </c>
      <c r="P24">
        <f ca="1">IFERROR(IF(0=LEN(ReferenceData!$P$24),"",ReferenceData!$P$24),"")</f>
        <v>4869.5568089999997</v>
      </c>
      <c r="Q24">
        <f ca="1">IFERROR(IF(0=LEN(ReferenceData!$Q$24),"",ReferenceData!$Q$24),"")</f>
        <v>4057.78325</v>
      </c>
      <c r="R24">
        <f ca="1">IFERROR(IF(0=LEN(ReferenceData!$R$24),"",ReferenceData!$R$24),"")</f>
        <v>3940.434096</v>
      </c>
      <c r="S24">
        <f ca="1">IFERROR(IF(0=LEN(ReferenceData!$S$24),"",ReferenceData!$S$24),"")</f>
        <v>4679.1609740000004</v>
      </c>
      <c r="T24">
        <f ca="1">IFERROR(IF(0=LEN(ReferenceData!$T$24),"",ReferenceData!$T$24),"")</f>
        <v>4331.7756369999997</v>
      </c>
      <c r="U24">
        <f ca="1">IFERROR(IF(0=LEN(ReferenceData!$U$24),"",ReferenceData!$U$24),"")</f>
        <v>3685.3328019999999</v>
      </c>
      <c r="V24">
        <f ca="1">IFERROR(IF(0=LEN(ReferenceData!$V$24),"",ReferenceData!$V$24),"")</f>
        <v>3439.3931550000002</v>
      </c>
      <c r="W24">
        <f ca="1">IFERROR(IF(0=LEN(ReferenceData!$W$24),"",ReferenceData!$W$24),"")</f>
        <v>4333.3772609999996</v>
      </c>
      <c r="X24">
        <f ca="1">IFERROR(IF(0=LEN(ReferenceData!$X$24),"",ReferenceData!$X$24),"")</f>
        <v>4241.9833470000003</v>
      </c>
      <c r="Y24">
        <f ca="1">IFERROR(IF(0=LEN(ReferenceData!$Y$24),"",ReferenceData!$Y$24),"")</f>
        <v>4031.0533500000001</v>
      </c>
      <c r="Z24">
        <f ca="1">IFERROR(IF(0=LEN(ReferenceData!$Z$24),"",ReferenceData!$Z$24),"")</f>
        <v>3640.0312119999999</v>
      </c>
      <c r="AA24">
        <f ca="1">IFERROR(IF(0=LEN(ReferenceData!$AA$24),"",ReferenceData!$AA$24),"")</f>
        <v>3862.2945020000002</v>
      </c>
      <c r="AB24">
        <f ca="1">IFERROR(IF(0=LEN(ReferenceData!$AB$24),"",ReferenceData!$AB$24),"")</f>
        <v>4403.1800409999996</v>
      </c>
      <c r="AC24">
        <f ca="1">IFERROR(IF(0=LEN(ReferenceData!$AC$24),"",ReferenceData!$AC$24),"")</f>
        <v>3680.7529089999998</v>
      </c>
      <c r="AD24">
        <f ca="1">IFERROR(IF(0=LEN(ReferenceData!$AD$24),"",ReferenceData!$AD$24),"")</f>
        <v>3369.9853699999999</v>
      </c>
      <c r="AE24">
        <f ca="1">IFERROR(IF(0=LEN(ReferenceData!$AE$24),"",ReferenceData!$AE$24),"")</f>
        <v>4113.998388</v>
      </c>
      <c r="AF24">
        <f ca="1">IFERROR(IF(0=LEN(ReferenceData!$AF$24),"",ReferenceData!$AF$24),"")</f>
        <v>3877.9336790000002</v>
      </c>
      <c r="AG24">
        <f ca="1">IFERROR(IF(0=LEN(ReferenceData!$AG$24),"",ReferenceData!$AG$24),"")</f>
        <v>3534.8611470000001</v>
      </c>
      <c r="AH24">
        <f ca="1">IFERROR(IF(0=LEN(ReferenceData!$AH$24),"",ReferenceData!$AH$24),"")</f>
        <v>3058.3944240000001</v>
      </c>
      <c r="AI24">
        <f ca="1">IFERROR(IF(0=LEN(ReferenceData!$AI$24),"",ReferenceData!$AI$24),"")</f>
        <v>3166.3185490000001</v>
      </c>
      <c r="AJ24">
        <f ca="1">IFERROR(IF(0=LEN(ReferenceData!$AJ$24),"",ReferenceData!$AJ$24),"")</f>
        <v>3248.7243560000002</v>
      </c>
      <c r="AK24">
        <f ca="1">IFERROR(IF(0=LEN(ReferenceData!$AK$24),"",ReferenceData!$AK$24),"")</f>
        <v>2900.7488969999999</v>
      </c>
      <c r="AL24" t="str">
        <f ca="1">IFERROR(IF(0=LEN(ReferenceData!$AL$24),"",ReferenceData!$AL$24),"")</f>
        <v/>
      </c>
      <c r="AM24" t="str">
        <f ca="1">IFERROR(IF(0=LEN(ReferenceData!$AM$24),"",ReferenceData!$AM$24),"")</f>
        <v/>
      </c>
      <c r="AN24" t="str">
        <f ca="1">IFERROR(IF(0=LEN(ReferenceData!$AN$24),"",ReferenceData!$AN$24),"")</f>
        <v/>
      </c>
      <c r="AO24" t="str">
        <f ca="1">IFERROR(IF(0=LEN(ReferenceData!$AO$24),"",ReferenceData!$AO$24),"")</f>
        <v/>
      </c>
      <c r="AP24" t="str">
        <f ca="1">IFERROR(IF(0=LEN(ReferenceData!$AP$24),"",ReferenceData!$AP$24),"")</f>
        <v/>
      </c>
      <c r="AQ24" t="str">
        <f ca="1">IFERROR(IF(0=LEN(ReferenceData!$AQ$24),"",ReferenceData!$AQ$24),"")</f>
        <v/>
      </c>
      <c r="AR24" t="str">
        <f ca="1">IFERROR(IF(0=LEN(ReferenceData!$AR$24),"",ReferenceData!$AR$24),"")</f>
        <v/>
      </c>
      <c r="AS24" t="str">
        <f ca="1">IFERROR(IF(0=LEN(ReferenceData!$AS$24),"",ReferenceData!$AS$24),"")</f>
        <v/>
      </c>
      <c r="AT24" t="str">
        <f ca="1">IFERROR(IF(0=LEN(ReferenceData!$AT$24),"",ReferenceData!$AT$24),"")</f>
        <v/>
      </c>
      <c r="AU24" t="str">
        <f ca="1">IFERROR(IF(0=LEN(ReferenceData!$AU$24),"",ReferenceData!$AU$24),"")</f>
        <v/>
      </c>
      <c r="AV24" t="str">
        <f ca="1">IFERROR(IF(0=LEN(ReferenceData!$AV$24),"",ReferenceData!$AV$24),"")</f>
        <v/>
      </c>
      <c r="AW24" t="str">
        <f ca="1">IFERROR(IF(0=LEN(ReferenceData!$AW$24),"",ReferenceData!$AW$24),"")</f>
        <v/>
      </c>
      <c r="AX24" t="str">
        <f ca="1">IFERROR(IF(0=LEN(ReferenceData!$AX$24),"",ReferenceData!$AX$24),"")</f>
        <v/>
      </c>
      <c r="AY24" t="str">
        <f ca="1">IFERROR(IF(0=LEN(ReferenceData!$AY$24),"",ReferenceData!$AY$24),"")</f>
        <v/>
      </c>
      <c r="AZ24" t="str">
        <f ca="1">IFERROR(IF(0=LEN(ReferenceData!$AZ$24),"",ReferenceData!$AZ$24),"")</f>
        <v/>
      </c>
      <c r="BA24" t="str">
        <f ca="1">IFERROR(IF(0=LEN(ReferenceData!$BA$24),"",ReferenceData!$BA$24),"")</f>
        <v/>
      </c>
      <c r="BB24" t="str">
        <f ca="1">IFERROR(IF(0=LEN(ReferenceData!$BB$24),"",ReferenceData!$BB$24),"")</f>
        <v/>
      </c>
      <c r="BC24" t="str">
        <f ca="1">IFERROR(IF(0=LEN(ReferenceData!$BC$24),"",ReferenceData!$BC$24),"")</f>
        <v/>
      </c>
      <c r="BD24" t="str">
        <f ca="1">IFERROR(IF(0=LEN(ReferenceData!$BD$24),"",ReferenceData!$BD$24),"")</f>
        <v/>
      </c>
      <c r="BE24" t="str">
        <f ca="1">IFERROR(IF(0=LEN(ReferenceData!$BE$24),"",ReferenceData!$BE$24),"")</f>
        <v/>
      </c>
      <c r="BF24" t="str">
        <f ca="1">IFERROR(IF(0=LEN(ReferenceData!$BF$24),"",ReferenceData!$BF$24),"")</f>
        <v/>
      </c>
      <c r="BG24" t="str">
        <f ca="1">IFERROR(IF(0=LEN(ReferenceData!$BG$24),"",ReferenceData!$BG$24),"")</f>
        <v/>
      </c>
      <c r="BH24" t="str">
        <f ca="1">IFERROR(IF(0=LEN(ReferenceData!$BH$24),"",ReferenceData!$BH$24),"")</f>
        <v/>
      </c>
      <c r="BI24" t="str">
        <f ca="1">IFERROR(IF(0=LEN(ReferenceData!$BI$24),"",ReferenceData!$BI$24),"")</f>
        <v/>
      </c>
      <c r="BJ24" t="str">
        <f ca="1">IFERROR(IF(0=LEN(ReferenceData!$BJ$24),"",ReferenceData!$BJ$24),"")</f>
        <v/>
      </c>
      <c r="BK24" t="str">
        <f ca="1">IFERROR(IF(0=LEN(ReferenceData!$BK$24),"",ReferenceData!$BK$24),"")</f>
        <v/>
      </c>
      <c r="BL24" t="str">
        <f ca="1">IFERROR(IF(0=LEN(ReferenceData!$BL$24),"",ReferenceData!$BL$24),"")</f>
        <v/>
      </c>
    </row>
    <row r="25" spans="1:64" x14ac:dyDescent="0.25">
      <c r="A25" t="str">
        <f>IFERROR(IF(0=LEN(ReferenceData!$A$25),"",ReferenceData!$A$25),"")</f>
        <v>By Geography ($M) - Tata</v>
      </c>
      <c r="B25" t="str">
        <f>IFERROR(IF(0=LEN(ReferenceData!$B$25),"",ReferenceData!$B$25),"")</f>
        <v>TTMT IN Equity</v>
      </c>
      <c r="C25" t="str">
        <f>IFERROR(IF(0=LEN(ReferenceData!$C$25),"",ReferenceData!$C$25),"")</f>
        <v>IS010</v>
      </c>
      <c r="D25" t="str">
        <f>IFERROR(IF(0=LEN(ReferenceData!$D$25),"",ReferenceData!$D$25),"")</f>
        <v>SALES_REV_TURN</v>
      </c>
      <c r="E25" t="str">
        <f>IFERROR(IF(0=LEN(ReferenceData!$E$25),"",ReferenceData!$E$25),"")</f>
        <v>Dynamic</v>
      </c>
      <c r="F25">
        <f ca="1">IFERROR(IF(0=LEN(ReferenceData!$F$25),"",ReferenceData!$F$25),"")</f>
        <v>10584.272510000001</v>
      </c>
      <c r="G25">
        <f ca="1">IFERROR(IF(0=LEN(ReferenceData!$G$25),"",ReferenceData!$G$25),"")</f>
        <v>10175.610790000001</v>
      </c>
      <c r="H25">
        <f ca="1">IFERROR(IF(0=LEN(ReferenceData!$H$25),"",ReferenceData!$H$25),"")</f>
        <v>10004.510329999999</v>
      </c>
      <c r="I25">
        <f ca="1">IFERROR(IF(0=LEN(ReferenceData!$I$25),"",ReferenceData!$I$25),"")</f>
        <v>14179.506310000001</v>
      </c>
      <c r="J25">
        <f ca="1">IFERROR(IF(0=LEN(ReferenceData!$J$25),"",ReferenceData!$J$25),"")</f>
        <v>11455.58043</v>
      </c>
      <c r="K25">
        <f ca="1">IFERROR(IF(0=LEN(ReferenceData!$K$25),"",ReferenceData!$K$25),"")</f>
        <v>10905.573710000001</v>
      </c>
      <c r="L25">
        <f ca="1">IFERROR(IF(0=LEN(ReferenceData!$L$25),"",ReferenceData!$L$25),"")</f>
        <v>9070.4786449999992</v>
      </c>
      <c r="M25">
        <f ca="1">IFERROR(IF(0=LEN(ReferenceData!$M$25),"",ReferenceData!$M$25),"")</f>
        <v>11539.430469999999</v>
      </c>
      <c r="N25">
        <f ca="1">IFERROR(IF(0=LEN(ReferenceData!$N$25),"",ReferenceData!$N$25),"")</f>
        <v>9480.2857189999995</v>
      </c>
      <c r="O25">
        <f ca="1">IFERROR(IF(0=LEN(ReferenceData!$O$25),"",ReferenceData!$O$25),"")</f>
        <v>9732.5655270000007</v>
      </c>
      <c r="P25">
        <f ca="1">IFERROR(IF(0=LEN(ReferenceData!$P$25),"",ReferenceData!$P$25),"")</f>
        <v>9717.1234769999992</v>
      </c>
      <c r="Q25">
        <f ca="1">IFERROR(IF(0=LEN(ReferenceData!$Q$25),"",ReferenceData!$Q$25),"")</f>
        <v>11781.2888</v>
      </c>
      <c r="R25">
        <f ca="1">IFERROR(IF(0=LEN(ReferenceData!$R$25),"",ReferenceData!$R$25),"")</f>
        <v>10375.958790000001</v>
      </c>
      <c r="S25">
        <f ca="1">IFERROR(IF(0=LEN(ReferenceData!$S$25),"",ReferenceData!$S$25),"")</f>
        <v>9396.8960709999992</v>
      </c>
      <c r="T25">
        <f ca="1">IFERROR(IF(0=LEN(ReferenceData!$T$25),"",ReferenceData!$T$25),"")</f>
        <v>9299.5837749999992</v>
      </c>
      <c r="U25">
        <f ca="1">IFERROR(IF(0=LEN(ReferenceData!$U$25),"",ReferenceData!$U$25),"")</f>
        <v>10814.41663</v>
      </c>
      <c r="V25">
        <f ca="1">IFERROR(IF(0=LEN(ReferenceData!$V$25),"",ReferenceData!$V$25),"")</f>
        <v>11151.934509999999</v>
      </c>
      <c r="W25">
        <f ca="1">IFERROR(IF(0=LEN(ReferenceData!$W$25),"",ReferenceData!$W$25),"")</f>
        <v>9929.0879669999995</v>
      </c>
      <c r="X25">
        <f ca="1">IFERROR(IF(0=LEN(ReferenceData!$X$25),"",ReferenceData!$X$25),"")</f>
        <v>10731.86702</v>
      </c>
      <c r="Y25">
        <f ca="1">IFERROR(IF(0=LEN(ReferenceData!$Y$25),"",ReferenceData!$Y$25),"")</f>
        <v>10478.92153</v>
      </c>
      <c r="Z25">
        <f ca="1">IFERROR(IF(0=LEN(ReferenceData!$Z$25),"",ReferenceData!$Z$25),"")</f>
        <v>10243.13523</v>
      </c>
      <c r="AA25">
        <f ca="1">IFERROR(IF(0=LEN(ReferenceData!$AA$25),"",ReferenceData!$AA$25),"")</f>
        <v>8981.8460919999998</v>
      </c>
      <c r="AB25">
        <f ca="1">IFERROR(IF(0=LEN(ReferenceData!$AB$25),"",ReferenceData!$AB$25),"")</f>
        <v>8363.3844179999996</v>
      </c>
      <c r="AC25">
        <f ca="1">IFERROR(IF(0=LEN(ReferenceData!$AC$25),"",ReferenceData!$AC$25),"")</f>
        <v>10308.794320000001</v>
      </c>
      <c r="AD25">
        <f ca="1">IFERROR(IF(0=LEN(ReferenceData!$AD$25),"",ReferenceData!$AD$25),"")</f>
        <v>8466.3846570000005</v>
      </c>
      <c r="AE25">
        <f ca="1">IFERROR(IF(0=LEN(ReferenceData!$AE$25),"",ReferenceData!$AE$25),"")</f>
        <v>7769.0021720000004</v>
      </c>
      <c r="AF25">
        <f ca="1">IFERROR(IF(0=LEN(ReferenceData!$AF$25),"",ReferenceData!$AF$25),"")</f>
        <v>7977.6795110000003</v>
      </c>
      <c r="AG25">
        <f ca="1">IFERROR(IF(0=LEN(ReferenceData!$AG$25),"",ReferenceData!$AG$25),"")</f>
        <v>10070.053330000001</v>
      </c>
      <c r="AH25">
        <f ca="1">IFERROR(IF(0=LEN(ReferenceData!$AH$25),"",ReferenceData!$AH$25),"")</f>
        <v>8874.8914960000002</v>
      </c>
      <c r="AI25">
        <f ca="1">IFERROR(IF(0=LEN(ReferenceData!$AI$25),"",ReferenceData!$AI$25),"")</f>
        <v>7859.570471</v>
      </c>
      <c r="AJ25">
        <f ca="1">IFERROR(IF(0=LEN(ReferenceData!$AJ$25),"",ReferenceData!$AJ$25),"")</f>
        <v>7462.5088400000004</v>
      </c>
      <c r="AK25">
        <f ca="1">IFERROR(IF(0=LEN(ReferenceData!$AK$25),"",ReferenceData!$AK$25),"")</f>
        <v>7293.5129280000001</v>
      </c>
      <c r="AL25">
        <f ca="1">IFERROR(IF(0=LEN(ReferenceData!$AL$25),"",ReferenceData!$AL$25),"")</f>
        <v>7025.3707690000001</v>
      </c>
      <c r="AM25">
        <f ca="1">IFERROR(IF(0=LEN(ReferenceData!$AM$25),"",ReferenceData!$AM$25),"")</f>
        <v>6148.5996450000002</v>
      </c>
      <c r="AN25">
        <f ca="1">IFERROR(IF(0=LEN(ReferenceData!$AN$25),"",ReferenceData!$AN$25),"")</f>
        <v>5887.3486999999996</v>
      </c>
      <c r="AO25">
        <f ca="1">IFERROR(IF(0=LEN(ReferenceData!$AO$25),"",ReferenceData!$AO$25),"")</f>
        <v>5947.2376789999998</v>
      </c>
      <c r="AP25">
        <f ca="1">IFERROR(IF(0=LEN(ReferenceData!$AP$25),"",ReferenceData!$AP$25),"")</f>
        <v>5570.5482869999996</v>
      </c>
      <c r="AQ25">
        <f ca="1">IFERROR(IF(0=LEN(ReferenceData!$AQ$25),"",ReferenceData!$AQ$25),"")</f>
        <v>4314.8396119999998</v>
      </c>
      <c r="AR25">
        <f ca="1">IFERROR(IF(0=LEN(ReferenceData!$AR$25),"",ReferenceData!$AR$25),"")</f>
        <v>3348.362396</v>
      </c>
      <c r="AS25">
        <f ca="1">IFERROR(IF(0=LEN(ReferenceData!$AS$25),"",ReferenceData!$AS$25),"")</f>
        <v>3039.931161</v>
      </c>
      <c r="AT25">
        <f ca="1">IFERROR(IF(0=LEN(ReferenceData!$AT$25),"",ReferenceData!$AT$25),"")</f>
        <v>3598.076454</v>
      </c>
      <c r="AU25">
        <f ca="1">IFERROR(IF(0=LEN(ReferenceData!$AU$25),"",ReferenceData!$AU$25),"")</f>
        <v>5221.5389519999999</v>
      </c>
      <c r="AV25">
        <f ca="1">IFERROR(IF(0=LEN(ReferenceData!$AV$25),"",ReferenceData!$AV$25),"")</f>
        <v>3455.8468469999998</v>
      </c>
      <c r="AW25" t="str">
        <f ca="1">IFERROR(IF(0=LEN(ReferenceData!$AW$25),"",ReferenceData!$AW$25),"")</f>
        <v/>
      </c>
      <c r="AX25">
        <f ca="1">IFERROR(IF(0=LEN(ReferenceData!$AX$25),"",ReferenceData!$AX$25),"")</f>
        <v>2340.3874179999998</v>
      </c>
      <c r="AY25">
        <f ca="1">IFERROR(IF(0=LEN(ReferenceData!$AY$25),"",ReferenceData!$AY$25),"")</f>
        <v>2025.3756069999999</v>
      </c>
      <c r="AZ25" t="str">
        <f ca="1">IFERROR(IF(0=LEN(ReferenceData!$AZ$25),"",ReferenceData!$AZ$25),"")</f>
        <v/>
      </c>
      <c r="BA25" t="str">
        <f ca="1">IFERROR(IF(0=LEN(ReferenceData!$BA$25),"",ReferenceData!$BA$25),"")</f>
        <v/>
      </c>
      <c r="BB25" t="str">
        <f ca="1">IFERROR(IF(0=LEN(ReferenceData!$BB$25),"",ReferenceData!$BB$25),"")</f>
        <v/>
      </c>
      <c r="BC25" t="str">
        <f ca="1">IFERROR(IF(0=LEN(ReferenceData!$BC$25),"",ReferenceData!$BC$25),"")</f>
        <v/>
      </c>
      <c r="BD25" t="str">
        <f ca="1">IFERROR(IF(0=LEN(ReferenceData!$BD$25),"",ReferenceData!$BD$25),"")</f>
        <v/>
      </c>
      <c r="BE25" t="str">
        <f ca="1">IFERROR(IF(0=LEN(ReferenceData!$BE$25),"",ReferenceData!$BE$25),"")</f>
        <v/>
      </c>
      <c r="BF25" t="str">
        <f ca="1">IFERROR(IF(0=LEN(ReferenceData!$BF$25),"",ReferenceData!$BF$25),"")</f>
        <v/>
      </c>
      <c r="BG25" t="str">
        <f ca="1">IFERROR(IF(0=LEN(ReferenceData!$BG$25),"",ReferenceData!$BG$25),"")</f>
        <v/>
      </c>
      <c r="BH25" t="str">
        <f ca="1">IFERROR(IF(0=LEN(ReferenceData!$BH$25),"",ReferenceData!$BH$25),"")</f>
        <v/>
      </c>
      <c r="BI25" t="str">
        <f ca="1">IFERROR(IF(0=LEN(ReferenceData!$BI$25),"",ReferenceData!$BI$25),"")</f>
        <v/>
      </c>
      <c r="BJ25" t="str">
        <f ca="1">IFERROR(IF(0=LEN(ReferenceData!$BJ$25),"",ReferenceData!$BJ$25),"")</f>
        <v/>
      </c>
      <c r="BK25" t="str">
        <f ca="1">IFERROR(IF(0=LEN(ReferenceData!$BK$25),"",ReferenceData!$BK$25),"")</f>
        <v/>
      </c>
      <c r="BL25" t="str">
        <f ca="1">IFERROR(IF(0=LEN(ReferenceData!$BL$25),"",ReferenceData!$BL$25),"")</f>
        <v/>
      </c>
    </row>
    <row r="26" spans="1:64" x14ac:dyDescent="0.25">
      <c r="A26" t="str">
        <f>IFERROR(IF(0=LEN(ReferenceData!$A$26),"",ReferenceData!$A$26),"")</f>
        <v>By Geography ($M) - Suzuki</v>
      </c>
      <c r="B26" t="str">
        <f>IFERROR(IF(0=LEN(ReferenceData!$B$26),"",ReferenceData!$B$26),"")</f>
        <v>7269 JP Equity</v>
      </c>
      <c r="C26" t="str">
        <f>IFERROR(IF(0=LEN(ReferenceData!$C$26),"",ReferenceData!$C$26),"")</f>
        <v>IS010</v>
      </c>
      <c r="D26" t="str">
        <f>IFERROR(IF(0=LEN(ReferenceData!$D$26),"",ReferenceData!$D$26),"")</f>
        <v>SALES_REV_TURN</v>
      </c>
      <c r="E26" t="str">
        <f>IFERROR(IF(0=LEN(ReferenceData!$E$26),"",ReferenceData!$E$26),"")</f>
        <v>Dynamic</v>
      </c>
      <c r="F26">
        <f ca="1">IFERROR(IF(0=LEN(ReferenceData!$F$26),"",ReferenceData!$F$26),"")</f>
        <v>8067.1188309999998</v>
      </c>
      <c r="G26">
        <f ca="1">IFERROR(IF(0=LEN(ReferenceData!$G$26),"",ReferenceData!$G$26),"")</f>
        <v>8448.9009170000008</v>
      </c>
      <c r="H26">
        <f ca="1">IFERROR(IF(0=LEN(ReferenceData!$H$26),"",ReferenceData!$H$26),"")</f>
        <v>9050.8906900000002</v>
      </c>
      <c r="I26">
        <f ca="1">IFERROR(IF(0=LEN(ReferenceData!$I$26),"",ReferenceData!$I$26),"")</f>
        <v>9530.5591029999996</v>
      </c>
      <c r="J26">
        <f ca="1">IFERROR(IF(0=LEN(ReferenceData!$J$26),"",ReferenceData!$J$26),"")</f>
        <v>7918.0672000000004</v>
      </c>
      <c r="K26">
        <f ca="1">IFERROR(IF(0=LEN(ReferenceData!$K$26),"",ReferenceData!$K$26),"")</f>
        <v>8668.1956300000002</v>
      </c>
      <c r="L26">
        <f ca="1">IFERROR(IF(0=LEN(ReferenceData!$L$26),"",ReferenceData!$L$26),"")</f>
        <v>7823.515418</v>
      </c>
      <c r="M26">
        <f ca="1">IFERROR(IF(0=LEN(ReferenceData!$M$26),"",ReferenceData!$M$26),"")</f>
        <v>8079.0013950000002</v>
      </c>
      <c r="N26">
        <f ca="1">IFERROR(IF(0=LEN(ReferenceData!$N$26),"",ReferenceData!$N$26),"")</f>
        <v>6889.1201229999997</v>
      </c>
      <c r="O26">
        <f ca="1">IFERROR(IF(0=LEN(ReferenceData!$O$26),"",ReferenceData!$O$26),"")</f>
        <v>7279.160449</v>
      </c>
      <c r="P26">
        <f ca="1">IFERROR(IF(0=LEN(ReferenceData!$P$26),"",ReferenceData!$P$26),"")</f>
        <v>6988.844486</v>
      </c>
      <c r="Q26">
        <f ca="1">IFERROR(IF(0=LEN(ReferenceData!$Q$26),"",ReferenceData!$Q$26),"")</f>
        <v>7164.0745539999998</v>
      </c>
      <c r="R26">
        <f ca="1">IFERROR(IF(0=LEN(ReferenceData!$R$26),"",ReferenceData!$R$26),"")</f>
        <v>6590.3288259999999</v>
      </c>
      <c r="S26">
        <f ca="1">IFERROR(IF(0=LEN(ReferenceData!$S$26),"",ReferenceData!$S$26),"")</f>
        <v>6408.5815469999998</v>
      </c>
      <c r="T26">
        <f ca="1">IFERROR(IF(0=LEN(ReferenceData!$T$26),"",ReferenceData!$T$26),"")</f>
        <v>6369.8193899999997</v>
      </c>
      <c r="U26">
        <f ca="1">IFERROR(IF(0=LEN(ReferenceData!$U$26),"",ReferenceData!$U$26),"")</f>
        <v>7321.6509880000003</v>
      </c>
      <c r="V26">
        <f ca="1">IFERROR(IF(0=LEN(ReferenceData!$V$26),"",ReferenceData!$V$26),"")</f>
        <v>6231.7836360000001</v>
      </c>
      <c r="W26">
        <f ca="1">IFERROR(IF(0=LEN(ReferenceData!$W$26),"",ReferenceData!$W$26),"")</f>
        <v>6930.5486870000004</v>
      </c>
      <c r="X26">
        <f ca="1">IFERROR(IF(0=LEN(ReferenceData!$X$26),"",ReferenceData!$X$26),"")</f>
        <v>6957.2479800000001</v>
      </c>
      <c r="Y26">
        <f ca="1">IFERROR(IF(0=LEN(ReferenceData!$Y$26),"",ReferenceData!$Y$26),"")</f>
        <v>8391.3190410000007</v>
      </c>
      <c r="Z26">
        <f ca="1">IFERROR(IF(0=LEN(ReferenceData!$Z$26),"",ReferenceData!$Z$26),"")</f>
        <v>7028.6748420000004</v>
      </c>
      <c r="AA26">
        <f ca="1">IFERROR(IF(0=LEN(ReferenceData!$AA$26),"",ReferenceData!$AA$26),"")</f>
        <v>7019.6551669999999</v>
      </c>
      <c r="AB26">
        <f ca="1">IFERROR(IF(0=LEN(ReferenceData!$AB$26),"",ReferenceData!$AB$26),"")</f>
        <v>6850.2519970000003</v>
      </c>
      <c r="AC26">
        <f ca="1">IFERROR(IF(0=LEN(ReferenceData!$AC$26),"",ReferenceData!$AC$26),"")</f>
        <v>8202.6287159999993</v>
      </c>
      <c r="AD26">
        <f ca="1">IFERROR(IF(0=LEN(ReferenceData!$AD$26),"",ReferenceData!$AD$26),"")</f>
        <v>7343.4550909999998</v>
      </c>
      <c r="AE26">
        <f ca="1">IFERROR(IF(0=LEN(ReferenceData!$AE$26),"",ReferenceData!$AE$26),"")</f>
        <v>7402.4653079999998</v>
      </c>
      <c r="AF26">
        <f ca="1">IFERROR(IF(0=LEN(ReferenceData!$AF$26),"",ReferenceData!$AF$26),"")</f>
        <v>8053.0868739999996</v>
      </c>
      <c r="AG26">
        <f ca="1">IFERROR(IF(0=LEN(ReferenceData!$AG$26),"",ReferenceData!$AG$26),"")</f>
        <v>9011.9014029999998</v>
      </c>
      <c r="AH26">
        <f ca="1">IFERROR(IF(0=LEN(ReferenceData!$AH$26),"",ReferenceData!$AH$26),"")</f>
        <v>7393.4160570000004</v>
      </c>
      <c r="AI26">
        <f ca="1">IFERROR(IF(0=LEN(ReferenceData!$AI$26),"",ReferenceData!$AI$26),"")</f>
        <v>7969.2980799999996</v>
      </c>
      <c r="AJ26">
        <f ca="1">IFERROR(IF(0=LEN(ReferenceData!$AJ$26),"",ReferenceData!$AJ$26),"")</f>
        <v>7449.7613350000001</v>
      </c>
      <c r="AK26">
        <f ca="1">IFERROR(IF(0=LEN(ReferenceData!$AK$26),"",ReferenceData!$AK$26),"")</f>
        <v>8275.8892180000003</v>
      </c>
      <c r="AL26">
        <f ca="1">IFERROR(IF(0=LEN(ReferenceData!$AL$26),"",ReferenceData!$AL$26),"")</f>
        <v>7378.2147240000004</v>
      </c>
      <c r="AM26">
        <f ca="1">IFERROR(IF(0=LEN(ReferenceData!$AM$26),"",ReferenceData!$AM$26),"")</f>
        <v>7727.3467099999998</v>
      </c>
      <c r="AN26">
        <f ca="1">IFERROR(IF(0=LEN(ReferenceData!$AN$26),"",ReferenceData!$AN$26),"")</f>
        <v>7130.0651310000003</v>
      </c>
      <c r="AO26">
        <f ca="1">IFERROR(IF(0=LEN(ReferenceData!$AO$26),"",ReferenceData!$AO$26),"")</f>
        <v>7612.753428</v>
      </c>
      <c r="AP26">
        <f ca="1">IFERROR(IF(0=LEN(ReferenceData!$AP$26),"",ReferenceData!$AP$26),"")</f>
        <v>6649.414659</v>
      </c>
      <c r="AQ26">
        <f ca="1">IFERROR(IF(0=LEN(ReferenceData!$AQ$26),"",ReferenceData!$AQ$26),"")</f>
        <v>6463.66248</v>
      </c>
      <c r="AR26">
        <f ca="1">IFERROR(IF(0=LEN(ReferenceData!$AR$26),"",ReferenceData!$AR$26),"")</f>
        <v>5930.724886</v>
      </c>
      <c r="AS26">
        <f ca="1">IFERROR(IF(0=LEN(ReferenceData!$AS$26),"",ReferenceData!$AS$26),"")</f>
        <v>7164.2597239999996</v>
      </c>
      <c r="AT26">
        <f ca="1">IFERROR(IF(0=LEN(ReferenceData!$AT$26),"",ReferenceData!$AT$26),"")</f>
        <v>6415.3378089999997</v>
      </c>
      <c r="AU26">
        <f ca="1">IFERROR(IF(0=LEN(ReferenceData!$AU$26),"",ReferenceData!$AU$26),"")</f>
        <v>7524.821003</v>
      </c>
      <c r="AV26">
        <f ca="1">IFERROR(IF(0=LEN(ReferenceData!$AV$26),"",ReferenceData!$AV$26),"")</f>
        <v>8705.0133089999999</v>
      </c>
      <c r="AW26">
        <f ca="1">IFERROR(IF(0=LEN(ReferenceData!$AW$26),"",ReferenceData!$AW$26),"")</f>
        <v>8779.9796860000006</v>
      </c>
      <c r="AX26">
        <f ca="1">IFERROR(IF(0=LEN(ReferenceData!$AX$26),"",ReferenceData!$AX$26),"")</f>
        <v>7513.6903890000003</v>
      </c>
      <c r="AY26">
        <f ca="1">IFERROR(IF(0=LEN(ReferenceData!$AY$26),"",ReferenceData!$AY$26),"")</f>
        <v>7086.8642920000002</v>
      </c>
      <c r="AZ26">
        <f ca="1">IFERROR(IF(0=LEN(ReferenceData!$AZ$26),"",ReferenceData!$AZ$26),"")</f>
        <v>7405.8671180000001</v>
      </c>
      <c r="BA26">
        <f ca="1">IFERROR(IF(0=LEN(ReferenceData!$BA$26),"",ReferenceData!$BA$26),"")</f>
        <v>7753.8621279999998</v>
      </c>
      <c r="BB26">
        <f ca="1">IFERROR(IF(0=LEN(ReferenceData!$BB$26),"",ReferenceData!$BB$26),"")</f>
        <v>6418.815783</v>
      </c>
      <c r="BC26">
        <f ca="1">IFERROR(IF(0=LEN(ReferenceData!$BC$26),"",ReferenceData!$BC$26),"")</f>
        <v>6180.1356740000001</v>
      </c>
      <c r="BD26">
        <f ca="1">IFERROR(IF(0=LEN(ReferenceData!$BD$26),"",ReferenceData!$BD$26),"")</f>
        <v>6682.1709529999998</v>
      </c>
      <c r="BE26">
        <f ca="1">IFERROR(IF(0=LEN(ReferenceData!$BE$26),"",ReferenceData!$BE$26),"")</f>
        <v>6789.6889979999996</v>
      </c>
      <c r="BF26">
        <f ca="1">IFERROR(IF(0=LEN(ReferenceData!$BF$26),"",ReferenceData!$BF$26),"")</f>
        <v>5795.9794309999997</v>
      </c>
      <c r="BG26">
        <f ca="1">IFERROR(IF(0=LEN(ReferenceData!$BG$26),"",ReferenceData!$BG$26),"")</f>
        <v>5714.0906779999996</v>
      </c>
      <c r="BH26">
        <f ca="1">IFERROR(IF(0=LEN(ReferenceData!$BH$26),"",ReferenceData!$BH$26),"")</f>
        <v>5931.6773919999996</v>
      </c>
      <c r="BI26">
        <f ca="1">IFERROR(IF(0=LEN(ReferenceData!$BI$26),"",ReferenceData!$BI$26),"")</f>
        <v>5995.3283540000002</v>
      </c>
      <c r="BJ26">
        <f ca="1">IFERROR(IF(0=LEN(ReferenceData!$BJ$26),"",ReferenceData!$BJ$26),"")</f>
        <v>5455.21857</v>
      </c>
      <c r="BK26">
        <f ca="1">IFERROR(IF(0=LEN(ReferenceData!$BK$26),"",ReferenceData!$BK$26),"")</f>
        <v>5235.1226589999997</v>
      </c>
      <c r="BL26">
        <f ca="1">IFERROR(IF(0=LEN(ReferenceData!$BL$26),"",ReferenceData!$BL$26),"")</f>
        <v>5356.2632739999999</v>
      </c>
    </row>
    <row r="27" spans="1:64" x14ac:dyDescent="0.25">
      <c r="A27" t="str">
        <f>IFERROR(IF(0=LEN(ReferenceData!$A$27),"",ReferenceData!$A$27),"")</f>
        <v xml:space="preserve">        North America</v>
      </c>
      <c r="B27" t="str">
        <f>IFERROR(IF(0=LEN(ReferenceData!$B$27),"",ReferenceData!$B$27),"")</f>
        <v>7269 JP Equity</v>
      </c>
      <c r="C27" t="str">
        <f>IFERROR(IF(0=LEN(ReferenceData!$C$27),"",ReferenceData!$C$27),"")</f>
        <v>BI047</v>
      </c>
      <c r="D27" t="str">
        <f>IFERROR(IF(0=LEN(ReferenceData!$D$27),"",ReferenceData!$D$27),"")</f>
        <v>BICS_SEGMENT_DATA</v>
      </c>
      <c r="E27" t="str">
        <f>IFERROR(IF(0=LEN(ReferenceData!$E$27),"",ReferenceData!$E$27),"")</f>
        <v>Dynamic</v>
      </c>
      <c r="F27">
        <f ca="1">IFERROR(IF(0=LEN(ReferenceData!$F$27),"",ReferenceData!$F$27),"")</f>
        <v>126.8526493</v>
      </c>
      <c r="G27">
        <f ca="1">IFERROR(IF(0=LEN(ReferenceData!$G$27),"",ReferenceData!$G$27),"")</f>
        <v>133.64469349999999</v>
      </c>
      <c r="H27">
        <f ca="1">IFERROR(IF(0=LEN(ReferenceData!$H$27),"",ReferenceData!$H$27),"")</f>
        <v>169.5663132</v>
      </c>
      <c r="I27">
        <f ca="1">IFERROR(IF(0=LEN(ReferenceData!$I$27),"",ReferenceData!$I$27),"")</f>
        <v>177.25518829999999</v>
      </c>
      <c r="J27">
        <f ca="1">IFERROR(IF(0=LEN(ReferenceData!$J$27),"",ReferenceData!$J$27),"")</f>
        <v>116.9389206</v>
      </c>
      <c r="K27">
        <f ca="1">IFERROR(IF(0=LEN(ReferenceData!$K$27),"",ReferenceData!$K$27),"")</f>
        <v>117.1640859</v>
      </c>
      <c r="L27">
        <f ca="1">IFERROR(IF(0=LEN(ReferenceData!$L$27),"",ReferenceData!$L$27),"")</f>
        <v>153.89406769999999</v>
      </c>
      <c r="M27">
        <f ca="1">IFERROR(IF(0=LEN(ReferenceData!$M$27),"",ReferenceData!$M$27),"")</f>
        <v>176.842837</v>
      </c>
      <c r="N27">
        <f ca="1">IFERROR(IF(0=LEN(ReferenceData!$N$27),"",ReferenceData!$N$27),"")</f>
        <v>102.5943786</v>
      </c>
      <c r="O27">
        <f ca="1">IFERROR(IF(0=LEN(ReferenceData!$O$27),"",ReferenceData!$O$27),"")</f>
        <v>106.6675376</v>
      </c>
      <c r="P27">
        <f ca="1">IFERROR(IF(0=LEN(ReferenceData!$P$27),"",ReferenceData!$P$27),"")</f>
        <v>128.83414389999999</v>
      </c>
      <c r="Q27">
        <f ca="1">IFERROR(IF(0=LEN(ReferenceData!$Q$27),"",ReferenceData!$Q$27),"")</f>
        <v>183.07260479999999</v>
      </c>
      <c r="R27">
        <f ca="1">IFERROR(IF(0=LEN(ReferenceData!$R$27),"",ReferenceData!$R$27),"")</f>
        <v>90.773950319999997</v>
      </c>
      <c r="S27">
        <f ca="1">IFERROR(IF(0=LEN(ReferenceData!$S$27),"",ReferenceData!$S$27),"")</f>
        <v>141.65434020000001</v>
      </c>
      <c r="T27">
        <f ca="1">IFERROR(IF(0=LEN(ReferenceData!$T$27),"",ReferenceData!$T$27),"")</f>
        <v>145.0336763</v>
      </c>
      <c r="U27">
        <f ca="1">IFERROR(IF(0=LEN(ReferenceData!$U$27),"",ReferenceData!$U$27),"")</f>
        <v>179.6872443</v>
      </c>
      <c r="V27">
        <f ca="1">IFERROR(IF(0=LEN(ReferenceData!$V$27),"",ReferenceData!$V$27),"")</f>
        <v>113.6988511</v>
      </c>
      <c r="W27">
        <f ca="1">IFERROR(IF(0=LEN(ReferenceData!$W$27),"",ReferenceData!$W$27),"")</f>
        <v>130.32899660000001</v>
      </c>
      <c r="X27">
        <f ca="1">IFERROR(IF(0=LEN(ReferenceData!$X$27),"",ReferenceData!$X$27),"")</f>
        <v>176.5063729</v>
      </c>
      <c r="Y27">
        <f ca="1">IFERROR(IF(0=LEN(ReferenceData!$Y$27),"",ReferenceData!$Y$27),"")</f>
        <v>191.27847170000001</v>
      </c>
      <c r="Z27">
        <f ca="1">IFERROR(IF(0=LEN(ReferenceData!$Z$27),"",ReferenceData!$Z$27),"")</f>
        <v>91.758495339999996</v>
      </c>
      <c r="AA27">
        <f ca="1">IFERROR(IF(0=LEN(ReferenceData!$AA$27),"",ReferenceData!$AA$27),"")</f>
        <v>152.69811490000001</v>
      </c>
      <c r="AB27">
        <f ca="1">IFERROR(IF(0=LEN(ReferenceData!$AB$27),"",ReferenceData!$AB$27),"")</f>
        <v>211.9746519</v>
      </c>
      <c r="AC27">
        <f ca="1">IFERROR(IF(0=LEN(ReferenceData!$AC$27),"",ReferenceData!$AC$27),"")</f>
        <v>285.70711210000002</v>
      </c>
      <c r="AD27">
        <f ca="1">IFERROR(IF(0=LEN(ReferenceData!$AD$27),"",ReferenceData!$AD$27),"")</f>
        <v>225.9475353</v>
      </c>
      <c r="AE27">
        <f ca="1">IFERROR(IF(0=LEN(ReferenceData!$AE$27),"",ReferenceData!$AE$27),"")</f>
        <v>314.03820200000001</v>
      </c>
      <c r="AF27">
        <f ca="1">IFERROR(IF(0=LEN(ReferenceData!$AF$27),"",ReferenceData!$AF$27),"")</f>
        <v>327.31180289999998</v>
      </c>
      <c r="AG27">
        <f ca="1">IFERROR(IF(0=LEN(ReferenceData!$AG$27),"",ReferenceData!$AG$27),"")</f>
        <v>462.33191599999998</v>
      </c>
      <c r="AH27">
        <f ca="1">IFERROR(IF(0=LEN(ReferenceData!$AH$27),"",ReferenceData!$AH$27),"")</f>
        <v>283.3914398</v>
      </c>
      <c r="AI27">
        <f ca="1">IFERROR(IF(0=LEN(ReferenceData!$AI$27),"",ReferenceData!$AI$27),"")</f>
        <v>246.83119590000001</v>
      </c>
      <c r="AJ27">
        <f ca="1">IFERROR(IF(0=LEN(ReferenceData!$AJ$27),"",ReferenceData!$AJ$27),"")</f>
        <v>405.35258640000001</v>
      </c>
      <c r="AK27">
        <f ca="1">IFERROR(IF(0=LEN(ReferenceData!$AK$27),"",ReferenceData!$AK$27),"")</f>
        <v>384.87049519999999</v>
      </c>
      <c r="AL27">
        <f ca="1">IFERROR(IF(0=LEN(ReferenceData!$AL$27),"",ReferenceData!$AL$27),"")</f>
        <v>248.4566403</v>
      </c>
      <c r="AM27">
        <f ca="1">IFERROR(IF(0=LEN(ReferenceData!$AM$27),"",ReferenceData!$AM$27),"")</f>
        <v>237.42732549999999</v>
      </c>
      <c r="AN27">
        <f ca="1">IFERROR(IF(0=LEN(ReferenceData!$AN$27),"",ReferenceData!$AN$27),"")</f>
        <v>287.4589062</v>
      </c>
      <c r="AO27">
        <f ca="1">IFERROR(IF(0=LEN(ReferenceData!$AO$27),"",ReferenceData!$AO$27),"")</f>
        <v>341.17936359999999</v>
      </c>
      <c r="AP27">
        <f ca="1">IFERROR(IF(0=LEN(ReferenceData!$AP$27),"",ReferenceData!$AP$27),"")</f>
        <v>201.76325629999999</v>
      </c>
      <c r="AQ27">
        <f ca="1">IFERROR(IF(0=LEN(ReferenceData!$AQ$27),"",ReferenceData!$AQ$27),"")</f>
        <v>367.62978659999999</v>
      </c>
      <c r="AR27">
        <f ca="1">IFERROR(IF(0=LEN(ReferenceData!$AR$27),"",ReferenceData!$AR$27),"")</f>
        <v>497.25592660000001</v>
      </c>
      <c r="AS27">
        <f ca="1">IFERROR(IF(0=LEN(ReferenceData!$AS$27),"",ReferenceData!$AS$27),"")</f>
        <v>371.50444479999999</v>
      </c>
      <c r="AT27">
        <f ca="1">IFERROR(IF(0=LEN(ReferenceData!$AT$27),"",ReferenceData!$AT$27),"")</f>
        <v>307.61027289999998</v>
      </c>
      <c r="AU27" t="str">
        <f ca="1">IFERROR(IF(0=LEN(ReferenceData!$AU$27),"",ReferenceData!$AU$27),"")</f>
        <v/>
      </c>
      <c r="AV27">
        <f ca="1">IFERROR(IF(0=LEN(ReferenceData!$AV$27),"",ReferenceData!$AV$27),"")</f>
        <v>996.11807539999995</v>
      </c>
      <c r="AW27" t="str">
        <f ca="1">IFERROR(IF(0=LEN(ReferenceData!$AW$27),"",ReferenceData!$AW$27),"")</f>
        <v/>
      </c>
      <c r="AX27" t="str">
        <f ca="1">IFERROR(IF(0=LEN(ReferenceData!$AX$27),"",ReferenceData!$AX$27),"")</f>
        <v/>
      </c>
      <c r="AY27" t="str">
        <f ca="1">IFERROR(IF(0=LEN(ReferenceData!$AY$27),"",ReferenceData!$AY$27),"")</f>
        <v/>
      </c>
      <c r="AZ27" t="str">
        <f ca="1">IFERROR(IF(0=LEN(ReferenceData!$AZ$27),"",ReferenceData!$AZ$27),"")</f>
        <v/>
      </c>
      <c r="BA27" t="str">
        <f ca="1">IFERROR(IF(0=LEN(ReferenceData!$BA$27),"",ReferenceData!$BA$27),"")</f>
        <v/>
      </c>
      <c r="BB27" t="str">
        <f ca="1">IFERROR(IF(0=LEN(ReferenceData!$BB$27),"",ReferenceData!$BB$27),"")</f>
        <v/>
      </c>
      <c r="BC27" t="str">
        <f ca="1">IFERROR(IF(0=LEN(ReferenceData!$BC$27),"",ReferenceData!$BC$27),"")</f>
        <v/>
      </c>
      <c r="BD27" t="str">
        <f ca="1">IFERROR(IF(0=LEN(ReferenceData!$BD$27),"",ReferenceData!$BD$27),"")</f>
        <v/>
      </c>
      <c r="BE27" t="str">
        <f ca="1">IFERROR(IF(0=LEN(ReferenceData!$BE$27),"",ReferenceData!$BE$27),"")</f>
        <v/>
      </c>
      <c r="BF27" t="str">
        <f ca="1">IFERROR(IF(0=LEN(ReferenceData!$BF$27),"",ReferenceData!$BF$27),"")</f>
        <v/>
      </c>
      <c r="BG27" t="str">
        <f ca="1">IFERROR(IF(0=LEN(ReferenceData!$BG$27),"",ReferenceData!$BG$27),"")</f>
        <v/>
      </c>
      <c r="BH27" t="str">
        <f ca="1">IFERROR(IF(0=LEN(ReferenceData!$BH$27),"",ReferenceData!$BH$27),"")</f>
        <v/>
      </c>
      <c r="BI27" t="str">
        <f ca="1">IFERROR(IF(0=LEN(ReferenceData!$BI$27),"",ReferenceData!$BI$27),"")</f>
        <v/>
      </c>
      <c r="BJ27" t="str">
        <f ca="1">IFERROR(IF(0=LEN(ReferenceData!$BJ$27),"",ReferenceData!$BJ$27),"")</f>
        <v/>
      </c>
      <c r="BK27" t="str">
        <f ca="1">IFERROR(IF(0=LEN(ReferenceData!$BK$27),"",ReferenceData!$BK$27),"")</f>
        <v/>
      </c>
      <c r="BL27" t="str">
        <f ca="1">IFERROR(IF(0=LEN(ReferenceData!$BL$27),"",ReferenceData!$BL$27),"")</f>
        <v/>
      </c>
    </row>
    <row r="28" spans="1:64" x14ac:dyDescent="0.25">
      <c r="A28" t="str">
        <f>IFERROR(IF(0=LEN(ReferenceData!$A$28),"",ReferenceData!$A$28),"")</f>
        <v>By Geography ($M) - Mazda</v>
      </c>
      <c r="B28" t="str">
        <f>IFERROR(IF(0=LEN(ReferenceData!$B$28),"",ReferenceData!$B$28),"")</f>
        <v>7261 JP Equity</v>
      </c>
      <c r="C28" t="str">
        <f>IFERROR(IF(0=LEN(ReferenceData!$C$28),"",ReferenceData!$C$28),"")</f>
        <v>IS010</v>
      </c>
      <c r="D28" t="str">
        <f>IFERROR(IF(0=LEN(ReferenceData!$D$28),"",ReferenceData!$D$28),"")</f>
        <v>SALES_REV_TURN</v>
      </c>
      <c r="E28" t="str">
        <f>IFERROR(IF(0=LEN(ReferenceData!$E$28),"",ReferenceData!$E$28),"")</f>
        <v>Dynamic</v>
      </c>
      <c r="F28">
        <f ca="1">IFERROR(IF(0=LEN(ReferenceData!$F$28),"",ReferenceData!$F$28),"")</f>
        <v>7925.8067540000002</v>
      </c>
      <c r="G28">
        <f ca="1">IFERROR(IF(0=LEN(ReferenceData!$G$28),"",ReferenceData!$G$28),"")</f>
        <v>7677.8158830000002</v>
      </c>
      <c r="H28">
        <f ca="1">IFERROR(IF(0=LEN(ReferenceData!$H$28),"",ReferenceData!$H$28),"")</f>
        <v>8002.5309180000004</v>
      </c>
      <c r="I28">
        <f ca="1">IFERROR(IF(0=LEN(ReferenceData!$I$28),"",ReferenceData!$I$28),"")</f>
        <v>8549.7562930000004</v>
      </c>
      <c r="J28">
        <f ca="1">IFERROR(IF(0=LEN(ReferenceData!$J$28),"",ReferenceData!$J$28),"")</f>
        <v>7896.0437030000003</v>
      </c>
      <c r="K28">
        <f ca="1">IFERROR(IF(0=LEN(ReferenceData!$K$28),"",ReferenceData!$K$28),"")</f>
        <v>7701.9344010000004</v>
      </c>
      <c r="L28">
        <f ca="1">IFERROR(IF(0=LEN(ReferenceData!$L$28),"",ReferenceData!$L$28),"")</f>
        <v>7218.2167509999999</v>
      </c>
      <c r="M28">
        <f ca="1">IFERROR(IF(0=LEN(ReferenceData!$M$28),"",ReferenceData!$M$28),"")</f>
        <v>7622.7847359999996</v>
      </c>
      <c r="N28">
        <f ca="1">IFERROR(IF(0=LEN(ReferenceData!$N$28),"",ReferenceData!$N$28),"")</f>
        <v>7339.7248079999999</v>
      </c>
      <c r="O28">
        <f ca="1">IFERROR(IF(0=LEN(ReferenceData!$O$28),"",ReferenceData!$O$28),"")</f>
        <v>7525.5042219999996</v>
      </c>
      <c r="P28">
        <f ca="1">IFERROR(IF(0=LEN(ReferenceData!$P$28),"",ReferenceData!$P$28),"")</f>
        <v>7194.3581169999998</v>
      </c>
      <c r="Q28">
        <f ca="1">IFERROR(IF(0=LEN(ReferenceData!$Q$28),"",ReferenceData!$Q$28),"")</f>
        <v>7457.0046140000004</v>
      </c>
      <c r="R28">
        <f ca="1">IFERROR(IF(0=LEN(ReferenceData!$R$28),"",ReferenceData!$R$28),"")</f>
        <v>6979.0999810000003</v>
      </c>
      <c r="S28">
        <f ca="1">IFERROR(IF(0=LEN(ReferenceData!$S$28),"",ReferenceData!$S$28),"")</f>
        <v>7324.4792079999997</v>
      </c>
      <c r="T28">
        <f ca="1">IFERROR(IF(0=LEN(ReferenceData!$T$28),"",ReferenceData!$T$28),"")</f>
        <v>6643.073155</v>
      </c>
      <c r="U28">
        <f ca="1">IFERROR(IF(0=LEN(ReferenceData!$U$28),"",ReferenceData!$U$28),"")</f>
        <v>7052.0949460000002</v>
      </c>
      <c r="V28">
        <f ca="1">IFERROR(IF(0=LEN(ReferenceData!$V$28),"",ReferenceData!$V$28),"")</f>
        <v>6471.3508599999996</v>
      </c>
      <c r="W28">
        <f ca="1">IFERROR(IF(0=LEN(ReferenceData!$W$28),"",ReferenceData!$W$28),"")</f>
        <v>7199.3756960000001</v>
      </c>
      <c r="X28">
        <f ca="1">IFERROR(IF(0=LEN(ReferenceData!$X$28),"",ReferenceData!$X$28),"")</f>
        <v>6910.6020349999999</v>
      </c>
      <c r="Y28">
        <f ca="1">IFERROR(IF(0=LEN(ReferenceData!$Y$28),"",ReferenceData!$Y$28),"")</f>
        <v>7315.5989570000002</v>
      </c>
      <c r="Z28">
        <f ca="1">IFERROR(IF(0=LEN(ReferenceData!$Z$28),"",ReferenceData!$Z$28),"")</f>
        <v>6833.1438740000003</v>
      </c>
      <c r="AA28">
        <f ca="1">IFERROR(IF(0=LEN(ReferenceData!$AA$28),"",ReferenceData!$AA$28),"")</f>
        <v>6454.3233769999997</v>
      </c>
      <c r="AB28">
        <f ca="1">IFERROR(IF(0=LEN(ReferenceData!$AB$28),"",ReferenceData!$AB$28),"")</f>
        <v>6242.5784890000004</v>
      </c>
      <c r="AC28">
        <f ca="1">IFERROR(IF(0=LEN(ReferenceData!$AC$28),"",ReferenceData!$AC$28),"")</f>
        <v>7274.6369910000003</v>
      </c>
      <c r="AD28">
        <f ca="1">IFERROR(IF(0=LEN(ReferenceData!$AD$28),"",ReferenceData!$AD$28),"")</f>
        <v>6305.3237609999996</v>
      </c>
      <c r="AE28">
        <f ca="1">IFERROR(IF(0=LEN(ReferenceData!$AE$28),"",ReferenceData!$AE$28),"")</f>
        <v>6573.6272680000002</v>
      </c>
      <c r="AF28">
        <f ca="1">IFERROR(IF(0=LEN(ReferenceData!$AF$28),"",ReferenceData!$AF$28),"")</f>
        <v>6327.5993680000001</v>
      </c>
      <c r="AG28">
        <f ca="1">IFERROR(IF(0=LEN(ReferenceData!$AG$28),"",ReferenceData!$AG$28),"")</f>
        <v>7757.1320779999996</v>
      </c>
      <c r="AH28">
        <f ca="1">IFERROR(IF(0=LEN(ReferenceData!$AH$28),"",ReferenceData!$AH$28),"")</f>
        <v>5936.5063280000004</v>
      </c>
      <c r="AI28">
        <f ca="1">IFERROR(IF(0=LEN(ReferenceData!$AI$28),"",ReferenceData!$AI$28),"")</f>
        <v>7096.123227</v>
      </c>
      <c r="AJ28">
        <f ca="1">IFERROR(IF(0=LEN(ReferenceData!$AJ$28),"",ReferenceData!$AJ$28),"")</f>
        <v>5006.2749439999998</v>
      </c>
      <c r="AK28">
        <f ca="1">IFERROR(IF(0=LEN(ReferenceData!$AK$28),"",ReferenceData!$AK$28),"")</f>
        <v>7391.113942</v>
      </c>
      <c r="AL28">
        <f ca="1">IFERROR(IF(0=LEN(ReferenceData!$AL$28),"",ReferenceData!$AL$28),"")</f>
        <v>6787.9938949999996</v>
      </c>
      <c r="AM28">
        <f ca="1">IFERROR(IF(0=LEN(ReferenceData!$AM$28),"",ReferenceData!$AM$28),"")</f>
        <v>6761.3540110000004</v>
      </c>
      <c r="AN28">
        <f ca="1">IFERROR(IF(0=LEN(ReferenceData!$AN$28),"",ReferenceData!$AN$28),"")</f>
        <v>6279.9759530000001</v>
      </c>
      <c r="AO28">
        <f ca="1">IFERROR(IF(0=LEN(ReferenceData!$AO$28),"",ReferenceData!$AO$28),"")</f>
        <v>6794.7788259999998</v>
      </c>
      <c r="AP28">
        <f ca="1">IFERROR(IF(0=LEN(ReferenceData!$AP$28),"",ReferenceData!$AP$28),"")</f>
        <v>6207.1898579999997</v>
      </c>
      <c r="AQ28">
        <f ca="1">IFERROR(IF(0=LEN(ReferenceData!$AQ$28),"",ReferenceData!$AQ$28),"")</f>
        <v>6011.196696</v>
      </c>
      <c r="AR28">
        <f ca="1">IFERROR(IF(0=LEN(ReferenceData!$AR$28),"",ReferenceData!$AR$28),"")</f>
        <v>4400.4529119999997</v>
      </c>
      <c r="AS28">
        <f ca="1">IFERROR(IF(0=LEN(ReferenceData!$AS$28),"",ReferenceData!$AS$28),"")</f>
        <v>4789.6181939999997</v>
      </c>
      <c r="AT28">
        <f ca="1">IFERROR(IF(0=LEN(ReferenceData!$AT$28),"",ReferenceData!$AT$28),"")</f>
        <v>5345.415798</v>
      </c>
      <c r="AU28">
        <f ca="1">IFERROR(IF(0=LEN(ReferenceData!$AU$28),"",ReferenceData!$AU$28),"")</f>
        <v>7471.5442650000005</v>
      </c>
      <c r="AV28">
        <f ca="1">IFERROR(IF(0=LEN(ReferenceData!$AV$28),"",ReferenceData!$AV$28),"")</f>
        <v>7379.9538629999997</v>
      </c>
      <c r="AW28">
        <f ca="1">IFERROR(IF(0=LEN(ReferenceData!$AW$28),"",ReferenceData!$AW$28),"")</f>
        <v>9215.6214380000001</v>
      </c>
      <c r="AX28">
        <f ca="1">IFERROR(IF(0=LEN(ReferenceData!$AX$28),"",ReferenceData!$AX$28),"")</f>
        <v>7514.6274750000002</v>
      </c>
      <c r="AY28">
        <f ca="1">IFERROR(IF(0=LEN(ReferenceData!$AY$28),"",ReferenceData!$AY$28),"")</f>
        <v>7152.01926</v>
      </c>
      <c r="AZ28">
        <f ca="1">IFERROR(IF(0=LEN(ReferenceData!$AZ$28),"",ReferenceData!$AZ$28),"")</f>
        <v>6741.5726830000003</v>
      </c>
      <c r="BA28">
        <f ca="1">IFERROR(IF(0=LEN(ReferenceData!$BA$28),"",ReferenceData!$BA$28),"")</f>
        <v>8026.065791</v>
      </c>
      <c r="BB28">
        <f ca="1">IFERROR(IF(0=LEN(ReferenceData!$BB$28),"",ReferenceData!$BB$28),"")</f>
        <v>6522.8652579999998</v>
      </c>
      <c r="BC28">
        <f ca="1">IFERROR(IF(0=LEN(ReferenceData!$BC$28),"",ReferenceData!$BC$28),"")</f>
        <v>6770.3083589999997</v>
      </c>
      <c r="BD28">
        <f ca="1">IFERROR(IF(0=LEN(ReferenceData!$BD$28),"",ReferenceData!$BD$28),"")</f>
        <v>6423.7522330000002</v>
      </c>
      <c r="BE28">
        <f ca="1">IFERROR(IF(0=LEN(ReferenceData!$BE$28),"",ReferenceData!$BE$28),"")</f>
        <v>7070.9628149999999</v>
      </c>
      <c r="BF28">
        <f ca="1">IFERROR(IF(0=LEN(ReferenceData!$BF$28),"",ReferenceData!$BF$28),"")</f>
        <v>6324.3149590000003</v>
      </c>
      <c r="BG28">
        <f ca="1">IFERROR(IF(0=LEN(ReferenceData!$BG$28),"",ReferenceData!$BG$28),"")</f>
        <v>6124.3664689999996</v>
      </c>
      <c r="BH28">
        <f ca="1">IFERROR(IF(0=LEN(ReferenceData!$BH$28),"",ReferenceData!$BH$28),"")</f>
        <v>6237.8434219999999</v>
      </c>
      <c r="BI28">
        <f ca="1">IFERROR(IF(0=LEN(ReferenceData!$BI$28),"",ReferenceData!$BI$28),"")</f>
        <v>6596.4724809999998</v>
      </c>
      <c r="BJ28">
        <f ca="1">IFERROR(IF(0=LEN(ReferenceData!$BJ$28),"",ReferenceData!$BJ$28),"")</f>
        <v>6489.9835489999996</v>
      </c>
      <c r="BK28">
        <f ca="1">IFERROR(IF(0=LEN(ReferenceData!$BK$28),"",ReferenceData!$BK$28),"")</f>
        <v>6171.0681459999996</v>
      </c>
      <c r="BL28">
        <f ca="1">IFERROR(IF(0=LEN(ReferenceData!$BL$28),"",ReferenceData!$BL$28),"")</f>
        <v>5857.7084100000002</v>
      </c>
    </row>
    <row r="29" spans="1:64" x14ac:dyDescent="0.25">
      <c r="A29" t="str">
        <f>IFERROR(IF(0=LEN(ReferenceData!$A$29),"",ReferenceData!$A$29),"")</f>
        <v xml:space="preserve">        North America</v>
      </c>
      <c r="B29" t="str">
        <f>IFERROR(IF(0=LEN(ReferenceData!$B$29),"",ReferenceData!$B$29),"")</f>
        <v>7261 JP Equity</v>
      </c>
      <c r="C29" t="str">
        <f>IFERROR(IF(0=LEN(ReferenceData!$C$29),"",ReferenceData!$C$29),"")</f>
        <v>BI047</v>
      </c>
      <c r="D29" t="str">
        <f>IFERROR(IF(0=LEN(ReferenceData!$D$29),"",ReferenceData!$D$29),"")</f>
        <v>BICS_SEGMENT_DATA</v>
      </c>
      <c r="E29" t="str">
        <f>IFERROR(IF(0=LEN(ReferenceData!$E$29),"",ReferenceData!$E$29),"")</f>
        <v>Dynamic</v>
      </c>
      <c r="F29" t="str">
        <f ca="1">IFERROR(IF(0=LEN(ReferenceData!$F$29),"",ReferenceData!$F$29),"")</f>
        <v/>
      </c>
      <c r="G29" t="str">
        <f ca="1">IFERROR(IF(0=LEN(ReferenceData!$G$29),"",ReferenceData!$G$29),"")</f>
        <v/>
      </c>
      <c r="H29" t="str">
        <f ca="1">IFERROR(IF(0=LEN(ReferenceData!$H$29),"",ReferenceData!$H$29),"")</f>
        <v/>
      </c>
      <c r="I29" t="str">
        <f ca="1">IFERROR(IF(0=LEN(ReferenceData!$I$29),"",ReferenceData!$I$29),"")</f>
        <v/>
      </c>
      <c r="J29" t="str">
        <f ca="1">IFERROR(IF(0=LEN(ReferenceData!$J$29),"",ReferenceData!$J$29),"")</f>
        <v/>
      </c>
      <c r="K29" t="str">
        <f ca="1">IFERROR(IF(0=LEN(ReferenceData!$K$29),"",ReferenceData!$K$29),"")</f>
        <v/>
      </c>
      <c r="L29" t="str">
        <f ca="1">IFERROR(IF(0=LEN(ReferenceData!$L$29),"",ReferenceData!$L$29),"")</f>
        <v/>
      </c>
      <c r="M29" t="str">
        <f ca="1">IFERROR(IF(0=LEN(ReferenceData!$M$29),"",ReferenceData!$M$29),"")</f>
        <v/>
      </c>
      <c r="N29" t="str">
        <f ca="1">IFERROR(IF(0=LEN(ReferenceData!$N$29),"",ReferenceData!$N$29),"")</f>
        <v/>
      </c>
      <c r="O29" t="str">
        <f ca="1">IFERROR(IF(0=LEN(ReferenceData!$O$29),"",ReferenceData!$O$29),"")</f>
        <v/>
      </c>
      <c r="P29" t="str">
        <f ca="1">IFERROR(IF(0=LEN(ReferenceData!$P$29),"",ReferenceData!$P$29),"")</f>
        <v/>
      </c>
      <c r="Q29" t="str">
        <f ca="1">IFERROR(IF(0=LEN(ReferenceData!$Q$29),"",ReferenceData!$Q$29),"")</f>
        <v/>
      </c>
      <c r="R29" t="str">
        <f ca="1">IFERROR(IF(0=LEN(ReferenceData!$R$29),"",ReferenceData!$R$29),"")</f>
        <v/>
      </c>
      <c r="S29" t="str">
        <f ca="1">IFERROR(IF(0=LEN(ReferenceData!$S$29),"",ReferenceData!$S$29),"")</f>
        <v/>
      </c>
      <c r="T29" t="str">
        <f ca="1">IFERROR(IF(0=LEN(ReferenceData!$T$29),"",ReferenceData!$T$29),"")</f>
        <v/>
      </c>
      <c r="U29" t="str">
        <f ca="1">IFERROR(IF(0=LEN(ReferenceData!$U$29),"",ReferenceData!$U$29),"")</f>
        <v/>
      </c>
      <c r="V29" t="str">
        <f ca="1">IFERROR(IF(0=LEN(ReferenceData!$V$29),"",ReferenceData!$V$29),"")</f>
        <v/>
      </c>
      <c r="W29" t="str">
        <f ca="1">IFERROR(IF(0=LEN(ReferenceData!$W$29),"",ReferenceData!$W$29),"")</f>
        <v/>
      </c>
      <c r="X29" t="str">
        <f ca="1">IFERROR(IF(0=LEN(ReferenceData!$X$29),"",ReferenceData!$X$29),"")</f>
        <v/>
      </c>
      <c r="Y29" t="str">
        <f ca="1">IFERROR(IF(0=LEN(ReferenceData!$Y$29),"",ReferenceData!$Y$29),"")</f>
        <v/>
      </c>
      <c r="Z29" t="str">
        <f ca="1">IFERROR(IF(0=LEN(ReferenceData!$Z$29),"",ReferenceData!$Z$29),"")</f>
        <v/>
      </c>
      <c r="AA29" t="str">
        <f ca="1">IFERROR(IF(0=LEN(ReferenceData!$AA$29),"",ReferenceData!$AA$29),"")</f>
        <v/>
      </c>
      <c r="AB29" t="str">
        <f ca="1">IFERROR(IF(0=LEN(ReferenceData!$AB$29),"",ReferenceData!$AB$29),"")</f>
        <v/>
      </c>
      <c r="AC29" t="str">
        <f ca="1">IFERROR(IF(0=LEN(ReferenceData!$AC$29),"",ReferenceData!$AC$29),"")</f>
        <v/>
      </c>
      <c r="AD29" t="str">
        <f ca="1">IFERROR(IF(0=LEN(ReferenceData!$AD$29),"",ReferenceData!$AD$29),"")</f>
        <v/>
      </c>
      <c r="AE29" t="str">
        <f ca="1">IFERROR(IF(0=LEN(ReferenceData!$AE$29),"",ReferenceData!$AE$29),"")</f>
        <v/>
      </c>
      <c r="AF29" t="str">
        <f ca="1">IFERROR(IF(0=LEN(ReferenceData!$AF$29),"",ReferenceData!$AF$29),"")</f>
        <v/>
      </c>
      <c r="AG29" t="str">
        <f ca="1">IFERROR(IF(0=LEN(ReferenceData!$AG$29),"",ReferenceData!$AG$29),"")</f>
        <v/>
      </c>
      <c r="AH29" t="str">
        <f ca="1">IFERROR(IF(0=LEN(ReferenceData!$AH$29),"",ReferenceData!$AH$29),"")</f>
        <v/>
      </c>
      <c r="AI29" t="str">
        <f ca="1">IFERROR(IF(0=LEN(ReferenceData!$AI$29),"",ReferenceData!$AI$29),"")</f>
        <v/>
      </c>
      <c r="AJ29" t="str">
        <f ca="1">IFERROR(IF(0=LEN(ReferenceData!$AJ$29),"",ReferenceData!$AJ$29),"")</f>
        <v/>
      </c>
      <c r="AK29" t="str">
        <f ca="1">IFERROR(IF(0=LEN(ReferenceData!$AK$29),"",ReferenceData!$AK$29),"")</f>
        <v/>
      </c>
      <c r="AL29" t="str">
        <f ca="1">IFERROR(IF(0=LEN(ReferenceData!$AL$29),"",ReferenceData!$AL$29),"")</f>
        <v/>
      </c>
      <c r="AM29" t="str">
        <f ca="1">IFERROR(IF(0=LEN(ReferenceData!$AM$29),"",ReferenceData!$AM$29),"")</f>
        <v/>
      </c>
      <c r="AN29" t="str">
        <f ca="1">IFERROR(IF(0=LEN(ReferenceData!$AN$29),"",ReferenceData!$AN$29),"")</f>
        <v/>
      </c>
      <c r="AO29">
        <f ca="1">IFERROR(IF(0=LEN(ReferenceData!$AO$29),"",ReferenceData!$AO$29),"")</f>
        <v>1817.0497769999999</v>
      </c>
      <c r="AP29">
        <f ca="1">IFERROR(IF(0=LEN(ReferenceData!$AP$29),"",ReferenceData!$AP$29),"")</f>
        <v>1862.583351</v>
      </c>
      <c r="AQ29">
        <f ca="1">IFERROR(IF(0=LEN(ReferenceData!$AQ$29),"",ReferenceData!$AQ$29),"")</f>
        <v>1502.1842650000001</v>
      </c>
      <c r="AR29">
        <f ca="1">IFERROR(IF(0=LEN(ReferenceData!$AR$29),"",ReferenceData!$AR$29),"")</f>
        <v>1049.3857250000001</v>
      </c>
      <c r="AS29">
        <f ca="1">IFERROR(IF(0=LEN(ReferenceData!$AS$29),"",ReferenceData!$AS$29),"")</f>
        <v>1159.1139659999999</v>
      </c>
      <c r="AT29">
        <f ca="1">IFERROR(IF(0=LEN(ReferenceData!$AT$29),"",ReferenceData!$AT$29),"")</f>
        <v>1314.065429</v>
      </c>
      <c r="AU29">
        <f ca="1">IFERROR(IF(0=LEN(ReferenceData!$AU$29),"",ReferenceData!$AU$29),"")</f>
        <v>2220.722444</v>
      </c>
      <c r="AV29">
        <f ca="1">IFERROR(IF(0=LEN(ReferenceData!$AV$29),"",ReferenceData!$AV$29),"")</f>
        <v>2145.108502</v>
      </c>
      <c r="AW29" t="str">
        <f ca="1">IFERROR(IF(0=LEN(ReferenceData!$AW$29),"",ReferenceData!$AW$29),"")</f>
        <v/>
      </c>
      <c r="AX29" t="str">
        <f ca="1">IFERROR(IF(0=LEN(ReferenceData!$AX$29),"",ReferenceData!$AX$29),"")</f>
        <v/>
      </c>
      <c r="AY29" t="str">
        <f ca="1">IFERROR(IF(0=LEN(ReferenceData!$AY$29),"",ReferenceData!$AY$29),"")</f>
        <v/>
      </c>
      <c r="AZ29" t="str">
        <f ca="1">IFERROR(IF(0=LEN(ReferenceData!$AZ$29),"",ReferenceData!$AZ$29),"")</f>
        <v/>
      </c>
      <c r="BA29" t="str">
        <f ca="1">IFERROR(IF(0=LEN(ReferenceData!$BA$29),"",ReferenceData!$BA$29),"")</f>
        <v/>
      </c>
      <c r="BB29" t="str">
        <f ca="1">IFERROR(IF(0=LEN(ReferenceData!$BB$29),"",ReferenceData!$BB$29),"")</f>
        <v/>
      </c>
      <c r="BC29" t="str">
        <f ca="1">IFERROR(IF(0=LEN(ReferenceData!$BC$29),"",ReferenceData!$BC$29),"")</f>
        <v/>
      </c>
      <c r="BD29" t="str">
        <f ca="1">IFERROR(IF(0=LEN(ReferenceData!$BD$29),"",ReferenceData!$BD$29),"")</f>
        <v/>
      </c>
      <c r="BE29" t="str">
        <f ca="1">IFERROR(IF(0=LEN(ReferenceData!$BE$29),"",ReferenceData!$BE$29),"")</f>
        <v/>
      </c>
      <c r="BF29" t="str">
        <f ca="1">IFERROR(IF(0=LEN(ReferenceData!$BF$29),"",ReferenceData!$BF$29),"")</f>
        <v/>
      </c>
      <c r="BG29" t="str">
        <f ca="1">IFERROR(IF(0=LEN(ReferenceData!$BG$29),"",ReferenceData!$BG$29),"")</f>
        <v/>
      </c>
      <c r="BH29" t="str">
        <f ca="1">IFERROR(IF(0=LEN(ReferenceData!$BH$29),"",ReferenceData!$BH$29),"")</f>
        <v/>
      </c>
      <c r="BI29" t="str">
        <f ca="1">IFERROR(IF(0=LEN(ReferenceData!$BI$29),"",ReferenceData!$BI$29),"")</f>
        <v/>
      </c>
      <c r="BJ29" t="str">
        <f ca="1">IFERROR(IF(0=LEN(ReferenceData!$BJ$29),"",ReferenceData!$BJ$29),"")</f>
        <v/>
      </c>
      <c r="BK29" t="str">
        <f ca="1">IFERROR(IF(0=LEN(ReferenceData!$BK$29),"",ReferenceData!$BK$29),"")</f>
        <v/>
      </c>
      <c r="BL29" t="str">
        <f ca="1">IFERROR(IF(0=LEN(ReferenceData!$BL$29),"",ReferenceData!$BL$29),"")</f>
        <v/>
      </c>
    </row>
    <row r="30" spans="1:64" x14ac:dyDescent="0.25">
      <c r="A30" t="str">
        <f>IFERROR(IF(0=LEN(ReferenceData!$A$30),"",ReferenceData!$A$30),"")</f>
        <v>By Geography ($M) - Fuji Heavy Industries</v>
      </c>
      <c r="B30" t="str">
        <f>IFERROR(IF(0=LEN(ReferenceData!$B$30),"",ReferenceData!$B$30),"")</f>
        <v>7270 JP Equity</v>
      </c>
      <c r="C30" t="str">
        <f>IFERROR(IF(0=LEN(ReferenceData!$C$30),"",ReferenceData!$C$30),"")</f>
        <v>IS010</v>
      </c>
      <c r="D30" t="str">
        <f>IFERROR(IF(0=LEN(ReferenceData!$D$30),"",ReferenceData!$D$30),"")</f>
        <v>SALES_REV_TURN</v>
      </c>
      <c r="E30" t="str">
        <f>IFERROR(IF(0=LEN(ReferenceData!$E$30),"",ReferenceData!$E$30),"")</f>
        <v>Dynamic</v>
      </c>
      <c r="F30">
        <f ca="1">IFERROR(IF(0=LEN(ReferenceData!$F$30),"",ReferenceData!$F$30),"")</f>
        <v>7900.3741280000004</v>
      </c>
      <c r="G30">
        <f ca="1">IFERROR(IF(0=LEN(ReferenceData!$G$30),"",ReferenceData!$G$30),"")</f>
        <v>6974.4860179999996</v>
      </c>
      <c r="H30">
        <f ca="1">IFERROR(IF(0=LEN(ReferenceData!$H$30),"",ReferenceData!$H$30),"")</f>
        <v>6500.5950069999999</v>
      </c>
      <c r="I30">
        <f ca="1">IFERROR(IF(0=LEN(ReferenceData!$I$30),"",ReferenceData!$I$30),"")</f>
        <v>7760.3152300000002</v>
      </c>
      <c r="J30">
        <f ca="1">IFERROR(IF(0=LEN(ReferenceData!$J$30),"",ReferenceData!$J$30),"")</f>
        <v>7781.1069189999998</v>
      </c>
      <c r="K30">
        <f ca="1">IFERROR(IF(0=LEN(ReferenceData!$K$30),"",ReferenceData!$K$30),"")</f>
        <v>7494.3466779999999</v>
      </c>
      <c r="L30">
        <f ca="1">IFERROR(IF(0=LEN(ReferenceData!$L$30),"",ReferenceData!$L$30),"")</f>
        <v>7692.6334639999995</v>
      </c>
      <c r="M30">
        <f ca="1">IFERROR(IF(0=LEN(ReferenceData!$M$30),"",ReferenceData!$M$30),"")</f>
        <v>7907.5294389999999</v>
      </c>
      <c r="N30">
        <f ca="1">IFERROR(IF(0=LEN(ReferenceData!$N$30),"",ReferenceData!$N$30),"")</f>
        <v>7778.6465040000003</v>
      </c>
      <c r="O30">
        <f ca="1">IFERROR(IF(0=LEN(ReferenceData!$O$30),"",ReferenceData!$O$30),"")</f>
        <v>7898.1859020000002</v>
      </c>
      <c r="P30">
        <f ca="1">IFERROR(IF(0=LEN(ReferenceData!$P$30),"",ReferenceData!$P$30),"")</f>
        <v>7131.0903559999997</v>
      </c>
      <c r="Q30">
        <f ca="1">IFERROR(IF(0=LEN(ReferenceData!$Q$30),"",ReferenceData!$Q$30),"")</f>
        <v>7064.7409070000003</v>
      </c>
      <c r="R30">
        <f ca="1">IFERROR(IF(0=LEN(ReferenceData!$R$30),"",ReferenceData!$R$30),"")</f>
        <v>6731.0696349999998</v>
      </c>
      <c r="S30">
        <f ca="1">IFERROR(IF(0=LEN(ReferenceData!$S$30),"",ReferenceData!$S$30),"")</f>
        <v>6846.9730710000003</v>
      </c>
      <c r="T30">
        <f ca="1">IFERROR(IF(0=LEN(ReferenceData!$T$30),"",ReferenceData!$T$30),"")</f>
        <v>6307.2876800000004</v>
      </c>
      <c r="U30">
        <f ca="1">IFERROR(IF(0=LEN(ReferenceData!$U$30),"",ReferenceData!$U$30),"")</f>
        <v>6857.7638459999998</v>
      </c>
      <c r="V30">
        <f ca="1">IFERROR(IF(0=LEN(ReferenceData!$V$30),"",ReferenceData!$V$30),"")</f>
        <v>6565.8374389999999</v>
      </c>
      <c r="W30">
        <f ca="1">IFERROR(IF(0=LEN(ReferenceData!$W$30),"",ReferenceData!$W$30),"")</f>
        <v>6897.4588809999996</v>
      </c>
      <c r="X30">
        <f ca="1">IFERROR(IF(0=LEN(ReferenceData!$X$30),"",ReferenceData!$X$30),"")</f>
        <v>5811.2835610000002</v>
      </c>
      <c r="Y30">
        <f ca="1">IFERROR(IF(0=LEN(ReferenceData!$Y$30),"",ReferenceData!$Y$30),"")</f>
        <v>6806.0094490000001</v>
      </c>
      <c r="Z30">
        <f ca="1">IFERROR(IF(0=LEN(ReferenceData!$Z$30),"",ReferenceData!$Z$30),"")</f>
        <v>5806.5963300000003</v>
      </c>
      <c r="AA30">
        <f ca="1">IFERROR(IF(0=LEN(ReferenceData!$AA$30),"",ReferenceData!$AA$30),"")</f>
        <v>5850.2029309999998</v>
      </c>
      <c r="AB30">
        <f ca="1">IFERROR(IF(0=LEN(ReferenceData!$AB$30),"",ReferenceData!$AB$30),"")</f>
        <v>5543.9805050000004</v>
      </c>
      <c r="AC30">
        <f ca="1">IFERROR(IF(0=LEN(ReferenceData!$AC$30),"",ReferenceData!$AC$30),"")</f>
        <v>5886.7911080000003</v>
      </c>
      <c r="AD30">
        <f ca="1">IFERROR(IF(0=LEN(ReferenceData!$AD$30),"",ReferenceData!$AD$30),"")</f>
        <v>5824.9634420000002</v>
      </c>
      <c r="AE30">
        <f ca="1">IFERROR(IF(0=LEN(ReferenceData!$AE$30),"",ReferenceData!$AE$30),"")</f>
        <v>5966.1916940000001</v>
      </c>
      <c r="AF30">
        <f ca="1">IFERROR(IF(0=LEN(ReferenceData!$AF$30),"",ReferenceData!$AF$30),"")</f>
        <v>5356.8799410000001</v>
      </c>
      <c r="AG30">
        <f ca="1">IFERROR(IF(0=LEN(ReferenceData!$AG$30),"",ReferenceData!$AG$30),"")</f>
        <v>6153.8851189999996</v>
      </c>
      <c r="AH30">
        <f ca="1">IFERROR(IF(0=LEN(ReferenceData!$AH$30),"",ReferenceData!$AH$30),"")</f>
        <v>4840.6433440000001</v>
      </c>
      <c r="AI30">
        <f ca="1">IFERROR(IF(0=LEN(ReferenceData!$AI$30),"",ReferenceData!$AI$30),"")</f>
        <v>4566.8986800000002</v>
      </c>
      <c r="AJ30">
        <f ca="1">IFERROR(IF(0=LEN(ReferenceData!$AJ$30),"",ReferenceData!$AJ$30),"")</f>
        <v>3684.7146250000001</v>
      </c>
      <c r="AK30">
        <f ca="1">IFERROR(IF(0=LEN(ReferenceData!$AK$30),"",ReferenceData!$AK$30),"")</f>
        <v>4936.7208410000003</v>
      </c>
      <c r="AL30">
        <f ca="1">IFERROR(IF(0=LEN(ReferenceData!$AL$30),"",ReferenceData!$AL$30),"")</f>
        <v>4490.7089839999999</v>
      </c>
      <c r="AM30">
        <f ca="1">IFERROR(IF(0=LEN(ReferenceData!$AM$30),"",ReferenceData!$AM$30),"")</f>
        <v>5058.9108560000004</v>
      </c>
      <c r="AN30">
        <f ca="1">IFERROR(IF(0=LEN(ReferenceData!$AN$30),"",ReferenceData!$AN$30),"")</f>
        <v>4022.9036820000001</v>
      </c>
      <c r="AO30">
        <f ca="1">IFERROR(IF(0=LEN(ReferenceData!$AO$30),"",ReferenceData!$AO$30),"")</f>
        <v>4594.9693459999999</v>
      </c>
      <c r="AP30">
        <f ca="1">IFERROR(IF(0=LEN(ReferenceData!$AP$30),"",ReferenceData!$AP$30),"")</f>
        <v>4191.8395579999997</v>
      </c>
      <c r="AQ30">
        <f ca="1">IFERROR(IF(0=LEN(ReferenceData!$AQ$30),"",ReferenceData!$AQ$30),"")</f>
        <v>3895.0663020000002</v>
      </c>
      <c r="AR30">
        <f ca="1">IFERROR(IF(0=LEN(ReferenceData!$AR$30),"",ReferenceData!$AR$30),"")</f>
        <v>2788.116755</v>
      </c>
      <c r="AS30">
        <f ca="1">IFERROR(IF(0=LEN(ReferenceData!$AS$30),"",ReferenceData!$AS$30),"")</f>
        <v>3624.8596619999998</v>
      </c>
      <c r="AT30">
        <f ca="1">IFERROR(IF(0=LEN(ReferenceData!$AT$30),"",ReferenceData!$AT$30),"")</f>
        <v>3782.292782</v>
      </c>
      <c r="AU30">
        <f ca="1">IFERROR(IF(0=LEN(ReferenceData!$AU$30),"",ReferenceData!$AU$30),"")</f>
        <v>3747.285523</v>
      </c>
      <c r="AV30">
        <f ca="1">IFERROR(IF(0=LEN(ReferenceData!$AV$30),"",ReferenceData!$AV$30),"")</f>
        <v>3261.5318010000001</v>
      </c>
      <c r="AW30">
        <f ca="1">IFERROR(IF(0=LEN(ReferenceData!$AW$30),"",ReferenceData!$AW$30),"")</f>
        <v>4439.2742399999997</v>
      </c>
      <c r="AX30">
        <f ca="1">IFERROR(IF(0=LEN(ReferenceData!$AX$30),"",ReferenceData!$AX$30),"")</f>
        <v>3505.1623850000001</v>
      </c>
      <c r="AY30">
        <f ca="1">IFERROR(IF(0=LEN(ReferenceData!$AY$30),"",ReferenceData!$AY$30),"")</f>
        <v>3317.933943</v>
      </c>
      <c r="AZ30">
        <f ca="1">IFERROR(IF(0=LEN(ReferenceData!$AZ$30),"",ReferenceData!$AZ$30),"")</f>
        <v>2634.6587260000001</v>
      </c>
      <c r="BA30">
        <f ca="1">IFERROR(IF(0=LEN(ReferenceData!$BA$30),"",ReferenceData!$BA$30),"")</f>
        <v>3653.8819189999999</v>
      </c>
      <c r="BB30">
        <f ca="1">IFERROR(IF(0=LEN(ReferenceData!$BB$30),"",ReferenceData!$BB$30),"")</f>
        <v>3057.515868</v>
      </c>
      <c r="BC30">
        <f ca="1">IFERROR(IF(0=LEN(ReferenceData!$BC$30),"",ReferenceData!$BC$30),"")</f>
        <v>3175.0251459999999</v>
      </c>
      <c r="BD30">
        <f ca="1">IFERROR(IF(0=LEN(ReferenceData!$BD$30),"",ReferenceData!$BD$30),"")</f>
        <v>2882.7946619999998</v>
      </c>
      <c r="BE30">
        <f ca="1">IFERROR(IF(0=LEN(ReferenceData!$BE$30),"",ReferenceData!$BE$30),"")</f>
        <v>3737.8659400000001</v>
      </c>
      <c r="BF30">
        <f ca="1">IFERROR(IF(0=LEN(ReferenceData!$BF$30),"",ReferenceData!$BF$30),"")</f>
        <v>3176.2908940000002</v>
      </c>
      <c r="BG30">
        <f ca="1">IFERROR(IF(0=LEN(ReferenceData!$BG$30),"",ReferenceData!$BG$30),"")</f>
        <v>3301.2140639999998</v>
      </c>
      <c r="BH30">
        <f ca="1">IFERROR(IF(0=LEN(ReferenceData!$BH$30),"",ReferenceData!$BH$30),"")</f>
        <v>2789.3535969999998</v>
      </c>
      <c r="BI30">
        <f ca="1">IFERROR(IF(0=LEN(ReferenceData!$BI$30),"",ReferenceData!$BI$30),"")</f>
        <v>3789.8000430000002</v>
      </c>
      <c r="BJ30">
        <f ca="1">IFERROR(IF(0=LEN(ReferenceData!$BJ$30),"",ReferenceData!$BJ$30),"")</f>
        <v>3404.2424559999999</v>
      </c>
      <c r="BK30">
        <f ca="1">IFERROR(IF(0=LEN(ReferenceData!$BK$30),"",ReferenceData!$BK$30),"")</f>
        <v>3486.7822390000001</v>
      </c>
      <c r="BL30">
        <f ca="1">IFERROR(IF(0=LEN(ReferenceData!$BL$30),"",ReferenceData!$BL$30),"")</f>
        <v>2804.895172</v>
      </c>
    </row>
    <row r="31" spans="1:64" x14ac:dyDescent="0.25">
      <c r="A31" t="str">
        <f>IFERROR(IF(0=LEN(ReferenceData!$A$31),"",ReferenceData!$A$31),"")</f>
        <v xml:space="preserve">        North America</v>
      </c>
      <c r="B31" t="str">
        <f>IFERROR(IF(0=LEN(ReferenceData!$B$31),"",ReferenceData!$B$31),"")</f>
        <v>7270 JP Equity</v>
      </c>
      <c r="C31" t="str">
        <f>IFERROR(IF(0=LEN(ReferenceData!$C$31),"",ReferenceData!$C$31),"")</f>
        <v>BI047</v>
      </c>
      <c r="D31" t="str">
        <f>IFERROR(IF(0=LEN(ReferenceData!$D$31),"",ReferenceData!$D$31),"")</f>
        <v>BICS_SEGMENT_DATA</v>
      </c>
      <c r="E31" t="str">
        <f>IFERROR(IF(0=LEN(ReferenceData!$E$31),"",ReferenceData!$E$31),"")</f>
        <v>Dynamic</v>
      </c>
      <c r="F31">
        <f ca="1">IFERROR(IF(0=LEN(ReferenceData!$F$31),"",ReferenceData!$F$31),"")</f>
        <v>5762.4811879999997</v>
      </c>
      <c r="G31">
        <f ca="1">IFERROR(IF(0=LEN(ReferenceData!$G$31),"",ReferenceData!$G$31),"")</f>
        <v>4699.9878769999996</v>
      </c>
      <c r="H31">
        <f ca="1">IFERROR(IF(0=LEN(ReferenceData!$H$31),"",ReferenceData!$H$31),"")</f>
        <v>4377.5606049999997</v>
      </c>
      <c r="I31">
        <f ca="1">IFERROR(IF(0=LEN(ReferenceData!$I$31),"",ReferenceData!$I$31),"")</f>
        <v>5029.5882709999996</v>
      </c>
      <c r="J31">
        <f ca="1">IFERROR(IF(0=LEN(ReferenceData!$J$31),"",ReferenceData!$J$31),"")</f>
        <v>5419.9417899999999</v>
      </c>
      <c r="K31">
        <f ca="1">IFERROR(IF(0=LEN(ReferenceData!$K$31),"",ReferenceData!$K$31),"")</f>
        <v>5024.53676</v>
      </c>
      <c r="L31">
        <f ca="1">IFERROR(IF(0=LEN(ReferenceData!$L$31),"",ReferenceData!$L$31),"")</f>
        <v>5325.094728</v>
      </c>
      <c r="M31">
        <f ca="1">IFERROR(IF(0=LEN(ReferenceData!$M$31),"",ReferenceData!$M$31),"")</f>
        <v>5056.1995319999996</v>
      </c>
      <c r="N31">
        <f ca="1">IFERROR(IF(0=LEN(ReferenceData!$N$31),"",ReferenceData!$N$31),"")</f>
        <v>5206.5686539999997</v>
      </c>
      <c r="O31">
        <f ca="1">IFERROR(IF(0=LEN(ReferenceData!$O$31),"",ReferenceData!$O$31),"")</f>
        <v>5190.7105149999998</v>
      </c>
      <c r="P31">
        <f ca="1">IFERROR(IF(0=LEN(ReferenceData!$P$31),"",ReferenceData!$P$31),"")</f>
        <v>4798.3767120000002</v>
      </c>
      <c r="Q31">
        <f ca="1">IFERROR(IF(0=LEN(ReferenceData!$Q$31),"",ReferenceData!$Q$31),"")</f>
        <v>4188.684526</v>
      </c>
      <c r="R31">
        <f ca="1">IFERROR(IF(0=LEN(ReferenceData!$R$31),"",ReferenceData!$R$31),"")</f>
        <v>4605.4188409999997</v>
      </c>
      <c r="S31">
        <f ca="1">IFERROR(IF(0=LEN(ReferenceData!$S$31),"",ReferenceData!$S$31),"")</f>
        <v>4460.064687</v>
      </c>
      <c r="T31">
        <f ca="1">IFERROR(IF(0=LEN(ReferenceData!$T$31),"",ReferenceData!$T$31),"")</f>
        <v>4271.8051029999997</v>
      </c>
      <c r="U31">
        <f ca="1">IFERROR(IF(0=LEN(ReferenceData!$U$31),"",ReferenceData!$U$31),"")</f>
        <v>3878.2888509999998</v>
      </c>
      <c r="V31">
        <f ca="1">IFERROR(IF(0=LEN(ReferenceData!$V$31),"",ReferenceData!$V$31),"")</f>
        <v>4319.2615260000002</v>
      </c>
      <c r="W31">
        <f ca="1">IFERROR(IF(0=LEN(ReferenceData!$W$31),"",ReferenceData!$W$31),"")</f>
        <v>4043.1335819999999</v>
      </c>
      <c r="X31">
        <f ca="1">IFERROR(IF(0=LEN(ReferenceData!$X$31),"",ReferenceData!$X$31),"")</f>
        <v>3475.6761780000002</v>
      </c>
      <c r="Y31">
        <f ca="1">IFERROR(IF(0=LEN(ReferenceData!$Y$31),"",ReferenceData!$Y$31),"")</f>
        <v>3490.1365329999999</v>
      </c>
      <c r="Z31">
        <f ca="1">IFERROR(IF(0=LEN(ReferenceData!$Z$31),"",ReferenceData!$Z$31),"")</f>
        <v>3454.7656259999999</v>
      </c>
      <c r="AA31">
        <f ca="1">IFERROR(IF(0=LEN(ReferenceData!$AA$31),"",ReferenceData!$AA$31),"")</f>
        <v>3090.3550959999998</v>
      </c>
      <c r="AB31">
        <f ca="1">IFERROR(IF(0=LEN(ReferenceData!$AB$31),"",ReferenceData!$AB$31),"")</f>
        <v>3157.5221919999999</v>
      </c>
      <c r="AC31">
        <f ca="1">IFERROR(IF(0=LEN(ReferenceData!$AC$31),"",ReferenceData!$AC$31),"")</f>
        <v>2916.9548629999999</v>
      </c>
      <c r="AD31">
        <f ca="1">IFERROR(IF(0=LEN(ReferenceData!$AD$31),"",ReferenceData!$AD$31),"")</f>
        <v>2779.9827639999999</v>
      </c>
      <c r="AE31">
        <f ca="1">IFERROR(IF(0=LEN(ReferenceData!$AE$31),"",ReferenceData!$AE$31),"")</f>
        <v>2612.215878</v>
      </c>
      <c r="AF31">
        <f ca="1">IFERROR(IF(0=LEN(ReferenceData!$AF$31),"",ReferenceData!$AF$31),"")</f>
        <v>2451.7784830000001</v>
      </c>
      <c r="AG31">
        <f ca="1">IFERROR(IF(0=LEN(ReferenceData!$AG$31),"",ReferenceData!$AG$31),"")</f>
        <v>3004.8041429999998</v>
      </c>
      <c r="AH31">
        <f ca="1">IFERROR(IF(0=LEN(ReferenceData!$AH$31),"",ReferenceData!$AH$31),"")</f>
        <v>2239.4104109999998</v>
      </c>
      <c r="AI31">
        <f ca="1">IFERROR(IF(0=LEN(ReferenceData!$AI$31),"",ReferenceData!$AI$31),"")</f>
        <v>1975.473755</v>
      </c>
      <c r="AJ31">
        <f ca="1">IFERROR(IF(0=LEN(ReferenceData!$AJ$31),"",ReferenceData!$AJ$31),"")</f>
        <v>1787.2018350000001</v>
      </c>
      <c r="AK31">
        <f ca="1">IFERROR(IF(0=LEN(ReferenceData!$AK$31),"",ReferenceData!$AK$31),"")</f>
        <v>2266.573089</v>
      </c>
      <c r="AL31">
        <f ca="1">IFERROR(IF(0=LEN(ReferenceData!$AL$31),"",ReferenceData!$AL$31),"")</f>
        <v>2239.0903699999999</v>
      </c>
      <c r="AM31">
        <f ca="1">IFERROR(IF(0=LEN(ReferenceData!$AM$31),"",ReferenceData!$AM$31),"")</f>
        <v>2169.564359</v>
      </c>
      <c r="AN31">
        <f ca="1">IFERROR(IF(0=LEN(ReferenceData!$AN$31),"",ReferenceData!$AN$31),"")</f>
        <v>1831.723481</v>
      </c>
      <c r="AO31">
        <f ca="1">IFERROR(IF(0=LEN(ReferenceData!$AO$31),"",ReferenceData!$AO$31),"")</f>
        <v>1915.4859899999999</v>
      </c>
      <c r="AP31">
        <f ca="1">IFERROR(IF(0=LEN(ReferenceData!$AP$31),"",ReferenceData!$AP$31),"")</f>
        <v>1877.2343719999999</v>
      </c>
      <c r="AQ31">
        <f ca="1">IFERROR(IF(0=LEN(ReferenceData!$AQ$31),"",ReferenceData!$AQ$31),"")</f>
        <v>1720.7709030000001</v>
      </c>
      <c r="AR31">
        <f ca="1">IFERROR(IF(0=LEN(ReferenceData!$AR$31),"",ReferenceData!$AR$31),"")</f>
        <v>1222.0740040000001</v>
      </c>
      <c r="AS31">
        <f ca="1">IFERROR(IF(0=LEN(ReferenceData!$AS$31),"",ReferenceData!$AS$31),"")</f>
        <v>1503.015623</v>
      </c>
      <c r="AT31">
        <f ca="1">IFERROR(IF(0=LEN(ReferenceData!$AT$31),"",ReferenceData!$AT$31),"")</f>
        <v>1760.8583169999999</v>
      </c>
      <c r="AU31">
        <f ca="1">IFERROR(IF(0=LEN(ReferenceData!$AU$31),"",ReferenceData!$AU$31),"")</f>
        <v>1393.9708410000001</v>
      </c>
      <c r="AV31">
        <f ca="1">IFERROR(IF(0=LEN(ReferenceData!$AV$31),"",ReferenceData!$AV$31),"")</f>
        <v>1182.4467910000001</v>
      </c>
      <c r="AW31" t="str">
        <f ca="1">IFERROR(IF(0=LEN(ReferenceData!$AW$31),"",ReferenceData!$AW$31),"")</f>
        <v/>
      </c>
      <c r="AX31" t="str">
        <f ca="1">IFERROR(IF(0=LEN(ReferenceData!$AX$31),"",ReferenceData!$AX$31),"")</f>
        <v/>
      </c>
      <c r="AY31" t="str">
        <f ca="1">IFERROR(IF(0=LEN(ReferenceData!$AY$31),"",ReferenceData!$AY$31),"")</f>
        <v/>
      </c>
      <c r="AZ31" t="str">
        <f ca="1">IFERROR(IF(0=LEN(ReferenceData!$AZ$31),"",ReferenceData!$AZ$31),"")</f>
        <v/>
      </c>
      <c r="BA31" t="str">
        <f ca="1">IFERROR(IF(0=LEN(ReferenceData!$BA$31),"",ReferenceData!$BA$31),"")</f>
        <v/>
      </c>
      <c r="BB31" t="str">
        <f ca="1">IFERROR(IF(0=LEN(ReferenceData!$BB$31),"",ReferenceData!$BB$31),"")</f>
        <v/>
      </c>
      <c r="BC31" t="str">
        <f ca="1">IFERROR(IF(0=LEN(ReferenceData!$BC$31),"",ReferenceData!$BC$31),"")</f>
        <v/>
      </c>
      <c r="BD31" t="str">
        <f ca="1">IFERROR(IF(0=LEN(ReferenceData!$BD$31),"",ReferenceData!$BD$31),"")</f>
        <v/>
      </c>
      <c r="BE31" t="str">
        <f ca="1">IFERROR(IF(0=LEN(ReferenceData!$BE$31),"",ReferenceData!$BE$31),"")</f>
        <v/>
      </c>
      <c r="BF31" t="str">
        <f ca="1">IFERROR(IF(0=LEN(ReferenceData!$BF$31),"",ReferenceData!$BF$31),"")</f>
        <v/>
      </c>
      <c r="BG31" t="str">
        <f ca="1">IFERROR(IF(0=LEN(ReferenceData!$BG$31),"",ReferenceData!$BG$31),"")</f>
        <v/>
      </c>
      <c r="BH31" t="str">
        <f ca="1">IFERROR(IF(0=LEN(ReferenceData!$BH$31),"",ReferenceData!$BH$31),"")</f>
        <v/>
      </c>
      <c r="BI31" t="str">
        <f ca="1">IFERROR(IF(0=LEN(ReferenceData!$BI$31),"",ReferenceData!$BI$31),"")</f>
        <v/>
      </c>
      <c r="BJ31" t="str">
        <f ca="1">IFERROR(IF(0=LEN(ReferenceData!$BJ$31),"",ReferenceData!$BJ$31),"")</f>
        <v/>
      </c>
      <c r="BK31" t="str">
        <f ca="1">IFERROR(IF(0=LEN(ReferenceData!$BK$31),"",ReferenceData!$BK$31),"")</f>
        <v/>
      </c>
      <c r="BL31" t="str">
        <f ca="1">IFERROR(IF(0=LEN(ReferenceData!$BL$31),"",ReferenceData!$BL$31),"")</f>
        <v/>
      </c>
    </row>
    <row r="32" spans="1:64" x14ac:dyDescent="0.25">
      <c r="A32" t="str">
        <f>IFERROR(IF(0=LEN(ReferenceData!$A$32),"",ReferenceData!$A$32),"")</f>
        <v>By Geography ($M) - Mitsubishi</v>
      </c>
      <c r="B32" t="str">
        <f>IFERROR(IF(0=LEN(ReferenceData!$B$32),"",ReferenceData!$B$32),"")</f>
        <v>7211 JP Equity</v>
      </c>
      <c r="C32" t="str">
        <f>IFERROR(IF(0=LEN(ReferenceData!$C$32),"",ReferenceData!$C$32),"")</f>
        <v>IS010</v>
      </c>
      <c r="D32" t="str">
        <f>IFERROR(IF(0=LEN(ReferenceData!$D$32),"",ReferenceData!$D$32),"")</f>
        <v>SALES_REV_TURN</v>
      </c>
      <c r="E32" t="str">
        <f>IFERROR(IF(0=LEN(ReferenceData!$E$32),"",ReferenceData!$E$32),"")</f>
        <v>Dynamic</v>
      </c>
      <c r="F32">
        <f ca="1">IFERROR(IF(0=LEN(ReferenceData!$F$32),"",ReferenceData!$F$32),"")</f>
        <v>5542.0769280000004</v>
      </c>
      <c r="G32">
        <f ca="1">IFERROR(IF(0=LEN(ReferenceData!$G$32),"",ReferenceData!$G$32),"")</f>
        <v>5464.9288429999997</v>
      </c>
      <c r="H32">
        <f ca="1">IFERROR(IF(0=LEN(ReferenceData!$H$32),"",ReferenceData!$H$32),"")</f>
        <v>5133.2305889999998</v>
      </c>
      <c r="I32">
        <f ca="1">IFERROR(IF(0=LEN(ReferenceData!$I$32),"",ReferenceData!$I$32),"")</f>
        <v>6225.1652830000003</v>
      </c>
      <c r="J32">
        <f ca="1">IFERROR(IF(0=LEN(ReferenceData!$J$32),"",ReferenceData!$J$32),"")</f>
        <v>5053.276261</v>
      </c>
      <c r="K32">
        <f ca="1">IFERROR(IF(0=LEN(ReferenceData!$K$32),"",ReferenceData!$K$32),"")</f>
        <v>4567.3805229999998</v>
      </c>
      <c r="L32">
        <f ca="1">IFERROR(IF(0=LEN(ReferenceData!$L$32),"",ReferenceData!$L$32),"")</f>
        <v>3967.9650419999998</v>
      </c>
      <c r="M32">
        <f ca="1">IFERROR(IF(0=LEN(ReferenceData!$M$32),"",ReferenceData!$M$32),"")</f>
        <v>4973.4439519999996</v>
      </c>
      <c r="N32">
        <f ca="1">IFERROR(IF(0=LEN(ReferenceData!$N$32),"",ReferenceData!$N$32),"")</f>
        <v>4363.0423199999996</v>
      </c>
      <c r="O32">
        <f ca="1">IFERROR(IF(0=LEN(ReferenceData!$O$32),"",ReferenceData!$O$32),"")</f>
        <v>4261.81567</v>
      </c>
      <c r="P32">
        <f ca="1">IFERROR(IF(0=LEN(ReferenceData!$P$32),"",ReferenceData!$P$32),"")</f>
        <v>3973.7640409999999</v>
      </c>
      <c r="Q32">
        <f ca="1">IFERROR(IF(0=LEN(ReferenceData!$Q$32),"",ReferenceData!$Q$32),"")</f>
        <v>5260.8974619999999</v>
      </c>
      <c r="R32">
        <f ca="1">IFERROR(IF(0=LEN(ReferenceData!$R$32),"",ReferenceData!$R$32),"")</f>
        <v>4877.7736409999998</v>
      </c>
      <c r="S32">
        <f ca="1">IFERROR(IF(0=LEN(ReferenceData!$S$32),"",ReferenceData!$S$32),"")</f>
        <v>4661.3284839999997</v>
      </c>
      <c r="T32">
        <f ca="1">IFERROR(IF(0=LEN(ReferenceData!$T$32),"",ReferenceData!$T$32),"")</f>
        <v>4125.2713910000002</v>
      </c>
      <c r="U32">
        <f ca="1">IFERROR(IF(0=LEN(ReferenceData!$U$32),"",ReferenceData!$U$32),"")</f>
        <v>4969.453321</v>
      </c>
      <c r="V32">
        <f ca="1">IFERROR(IF(0=LEN(ReferenceData!$V$32),"",ReferenceData!$V$32),"")</f>
        <v>4842.0872680000002</v>
      </c>
      <c r="W32">
        <f ca="1">IFERROR(IF(0=LEN(ReferenceData!$W$32),"",ReferenceData!$W$32),"")</f>
        <v>5015.9777199999999</v>
      </c>
      <c r="X32">
        <f ca="1">IFERROR(IF(0=LEN(ReferenceData!$X$32),"",ReferenceData!$X$32),"")</f>
        <v>5031.7292530000004</v>
      </c>
      <c r="Y32">
        <f ca="1">IFERROR(IF(0=LEN(ReferenceData!$Y$32),"",ReferenceData!$Y$32),"")</f>
        <v>5590.8337199999996</v>
      </c>
      <c r="Z32">
        <f ca="1">IFERROR(IF(0=LEN(ReferenceData!$Z$32),"",ReferenceData!$Z$32),"")</f>
        <v>5874.5858779999999</v>
      </c>
      <c r="AA32">
        <f ca="1">IFERROR(IF(0=LEN(ReferenceData!$AA$32),"",ReferenceData!$AA$32),"")</f>
        <v>5252.4815509999999</v>
      </c>
      <c r="AB32">
        <f ca="1">IFERROR(IF(0=LEN(ReferenceData!$AB$32),"",ReferenceData!$AB$32),"")</f>
        <v>4150.1397219999999</v>
      </c>
      <c r="AC32">
        <f ca="1">IFERROR(IF(0=LEN(ReferenceData!$AC$32),"",ReferenceData!$AC$32),"")</f>
        <v>5780.843785</v>
      </c>
      <c r="AD32">
        <f ca="1">IFERROR(IF(0=LEN(ReferenceData!$AD$32),"",ReferenceData!$AD$32),"")</f>
        <v>5208.3888960000004</v>
      </c>
      <c r="AE32">
        <f ca="1">IFERROR(IF(0=LEN(ReferenceData!$AE$32),"",ReferenceData!$AE$32),"")</f>
        <v>5604.233193</v>
      </c>
      <c r="AF32">
        <f ca="1">IFERROR(IF(0=LEN(ReferenceData!$AF$32),"",ReferenceData!$AF$32),"")</f>
        <v>5236.9888469999996</v>
      </c>
      <c r="AG32">
        <f ca="1">IFERROR(IF(0=LEN(ReferenceData!$AG$32),"",ReferenceData!$AG$32),"")</f>
        <v>6488.0536819999998</v>
      </c>
      <c r="AH32">
        <f ca="1">IFERROR(IF(0=LEN(ReferenceData!$AH$32),"",ReferenceData!$AH$32),"")</f>
        <v>4986.3084580000004</v>
      </c>
      <c r="AI32">
        <f ca="1">IFERROR(IF(0=LEN(ReferenceData!$AI$32),"",ReferenceData!$AI$32),"")</f>
        <v>6123.6209349999999</v>
      </c>
      <c r="AJ32">
        <f ca="1">IFERROR(IF(0=LEN(ReferenceData!$AJ$32),"",ReferenceData!$AJ$32),"")</f>
        <v>5298.4217259999996</v>
      </c>
      <c r="AK32">
        <f ca="1">IFERROR(IF(0=LEN(ReferenceData!$AK$32),"",ReferenceData!$AK$32),"")</f>
        <v>6295.2782999999999</v>
      </c>
      <c r="AL32">
        <f ca="1">IFERROR(IF(0=LEN(ReferenceData!$AL$32),"",ReferenceData!$AL$32),"")</f>
        <v>5405.9614060000004</v>
      </c>
      <c r="AM32">
        <f ca="1">IFERROR(IF(0=LEN(ReferenceData!$AM$32),"",ReferenceData!$AM$32),"")</f>
        <v>5376.6003979999996</v>
      </c>
      <c r="AN32">
        <f ca="1">IFERROR(IF(0=LEN(ReferenceData!$AN$32),"",ReferenceData!$AN$32),"")</f>
        <v>4386.2824199999995</v>
      </c>
      <c r="AO32">
        <f ca="1">IFERROR(IF(0=LEN(ReferenceData!$AO$32),"",ReferenceData!$AO$32),"")</f>
        <v>5442.8222340000002</v>
      </c>
      <c r="AP32">
        <f ca="1">IFERROR(IF(0=LEN(ReferenceData!$AP$32),"",ReferenceData!$AP$32),"")</f>
        <v>4220.4958859999997</v>
      </c>
      <c r="AQ32">
        <f ca="1">IFERROR(IF(0=LEN(ReferenceData!$AQ$32),"",ReferenceData!$AQ$32),"")</f>
        <v>3357.0052420000002</v>
      </c>
      <c r="AR32">
        <f ca="1">IFERROR(IF(0=LEN(ReferenceData!$AR$32),"",ReferenceData!$AR$32),"")</f>
        <v>2662.6672739999999</v>
      </c>
      <c r="AS32">
        <f ca="1">IFERROR(IF(0=LEN(ReferenceData!$AS$32),"",ReferenceData!$AS$32),"")</f>
        <v>3372.1904559999998</v>
      </c>
      <c r="AT32">
        <f ca="1">IFERROR(IF(0=LEN(ReferenceData!$AT$32),"",ReferenceData!$AT$32),"")</f>
        <v>4634.1342070000001</v>
      </c>
      <c r="AU32">
        <f ca="1">IFERROR(IF(0=LEN(ReferenceData!$AU$32),"",ReferenceData!$AU$32),"")</f>
        <v>5613.7655329999998</v>
      </c>
      <c r="AV32">
        <f ca="1">IFERROR(IF(0=LEN(ReferenceData!$AV$32),"",ReferenceData!$AV$32),"")</f>
        <v>5833.5699050000003</v>
      </c>
      <c r="AW32">
        <f ca="1">IFERROR(IF(0=LEN(ReferenceData!$AW$32),"",ReferenceData!$AW$32),"")</f>
        <v>6984.1265960000001</v>
      </c>
      <c r="AX32">
        <f ca="1">IFERROR(IF(0=LEN(ReferenceData!$AX$32),"",ReferenceData!$AX$32),"")</f>
        <v>5604.1737659999999</v>
      </c>
      <c r="AY32">
        <f ca="1">IFERROR(IF(0=LEN(ReferenceData!$AY$32),"",ReferenceData!$AY$32),"")</f>
        <v>5798.6562739999999</v>
      </c>
      <c r="AZ32">
        <f ca="1">IFERROR(IF(0=LEN(ReferenceData!$AZ$32),"",ReferenceData!$AZ$32),"")</f>
        <v>5222.3752370000002</v>
      </c>
      <c r="BA32">
        <f ca="1">IFERROR(IF(0=LEN(ReferenceData!$BA$32),"",ReferenceData!$BA$32),"")</f>
        <v>5519.8096619999997</v>
      </c>
      <c r="BB32">
        <f ca="1">IFERROR(IF(0=LEN(ReferenceData!$BB$32),"",ReferenceData!$BB$32),"")</f>
        <v>4574.6613269999998</v>
      </c>
      <c r="BC32">
        <f ca="1">IFERROR(IF(0=LEN(ReferenceData!$BC$32),"",ReferenceData!$BC$32),"")</f>
        <v>4485.3671869999998</v>
      </c>
      <c r="BD32">
        <f ca="1">IFERROR(IF(0=LEN(ReferenceData!$BD$32),"",ReferenceData!$BD$32),"")</f>
        <v>4233.0630890000002</v>
      </c>
      <c r="BE32">
        <f ca="1">IFERROR(IF(0=LEN(ReferenceData!$BE$32),"",ReferenceData!$BE$32),"")</f>
        <v>5051.8916559999998</v>
      </c>
      <c r="BF32">
        <f ca="1">IFERROR(IF(0=LEN(ReferenceData!$BF$32),"",ReferenceData!$BF$32),"")</f>
        <v>4591.8585629999998</v>
      </c>
      <c r="BG32">
        <f ca="1">IFERROR(IF(0=LEN(ReferenceData!$BG$32),"",ReferenceData!$BG$32),"")</f>
        <v>4544.467498</v>
      </c>
      <c r="BH32">
        <f ca="1">IFERROR(IF(0=LEN(ReferenceData!$BH$32),"",ReferenceData!$BH$32),"")</f>
        <v>4517.9832029999998</v>
      </c>
      <c r="BI32">
        <f ca="1">IFERROR(IF(0=LEN(ReferenceData!$BI$32),"",ReferenceData!$BI$32),"")</f>
        <v>4829.4855429999998</v>
      </c>
      <c r="BJ32">
        <f ca="1">IFERROR(IF(0=LEN(ReferenceData!$BJ$32),"",ReferenceData!$BJ$32),"")</f>
        <v>5178.78521</v>
      </c>
      <c r="BK32">
        <f ca="1">IFERROR(IF(0=LEN(ReferenceData!$BK$32),"",ReferenceData!$BK$32),"")</f>
        <v>4669.2374659999996</v>
      </c>
      <c r="BL32">
        <f ca="1">IFERROR(IF(0=LEN(ReferenceData!$BL$32),"",ReferenceData!$BL$32),"")</f>
        <v>5085.5443720000003</v>
      </c>
    </row>
    <row r="33" spans="1:64" x14ac:dyDescent="0.25">
      <c r="A33" t="str">
        <f>IFERROR(IF(0=LEN(ReferenceData!$A$33),"",ReferenceData!$A$33),"")</f>
        <v xml:space="preserve">        North America</v>
      </c>
      <c r="B33" t="str">
        <f>IFERROR(IF(0=LEN(ReferenceData!$B$33),"",ReferenceData!$B$33),"")</f>
        <v>7211 JP Equity</v>
      </c>
      <c r="C33" t="str">
        <f>IFERROR(IF(0=LEN(ReferenceData!$C$33),"",ReferenceData!$C$33),"")</f>
        <v>BI047</v>
      </c>
      <c r="D33" t="str">
        <f>IFERROR(IF(0=LEN(ReferenceData!$D$33),"",ReferenceData!$D$33),"")</f>
        <v>BICS_SEGMENT_DATA</v>
      </c>
      <c r="E33" t="str">
        <f>IFERROR(IF(0=LEN(ReferenceData!$E$33),"",ReferenceData!$E$33),"")</f>
        <v>Dynamic</v>
      </c>
      <c r="F33">
        <f ca="1">IFERROR(IF(0=LEN(ReferenceData!$F$33),"",ReferenceData!$F$33),"")</f>
        <v>690.93001040000001</v>
      </c>
      <c r="G33">
        <f ca="1">IFERROR(IF(0=LEN(ReferenceData!$G$33),"",ReferenceData!$G$33),"")</f>
        <v>823.7984477</v>
      </c>
      <c r="H33">
        <f ca="1">IFERROR(IF(0=LEN(ReferenceData!$H$33),"",ReferenceData!$H$33),"")</f>
        <v>864.68737429999999</v>
      </c>
      <c r="I33">
        <f ca="1">IFERROR(IF(0=LEN(ReferenceData!$I$33),"",ReferenceData!$I$33),"")</f>
        <v>1057.0502369999999</v>
      </c>
      <c r="J33">
        <f ca="1">IFERROR(IF(0=LEN(ReferenceData!$J$33),"",ReferenceData!$J$33),"")</f>
        <v>802.64394589999995</v>
      </c>
      <c r="K33">
        <f ca="1">IFERROR(IF(0=LEN(ReferenceData!$K$33),"",ReferenceData!$K$33),"")</f>
        <v>699.72194620000005</v>
      </c>
      <c r="L33">
        <f ca="1">IFERROR(IF(0=LEN(ReferenceData!$L$33),"",ReferenceData!$L$33),"")</f>
        <v>628.09478809999996</v>
      </c>
      <c r="M33">
        <f ca="1">IFERROR(IF(0=LEN(ReferenceData!$M$33),"",ReferenceData!$M$33),"")</f>
        <v>804.90125130000001</v>
      </c>
      <c r="N33">
        <f ca="1">IFERROR(IF(0=LEN(ReferenceData!$N$33),"",ReferenceData!$N$33),"")</f>
        <v>551.17718349999996</v>
      </c>
      <c r="O33">
        <f ca="1">IFERROR(IF(0=LEN(ReferenceData!$O$33),"",ReferenceData!$O$33),"")</f>
        <v>694.78520149999997</v>
      </c>
      <c r="P33">
        <f ca="1">IFERROR(IF(0=LEN(ReferenceData!$P$33),"",ReferenceData!$P$33),"")</f>
        <v>689.34608760000003</v>
      </c>
      <c r="Q33">
        <f ca="1">IFERROR(IF(0=LEN(ReferenceData!$Q$33),"",ReferenceData!$Q$33),"")</f>
        <v>612.11754629999996</v>
      </c>
      <c r="R33">
        <f ca="1">IFERROR(IF(0=LEN(ReferenceData!$R$33),"",ReferenceData!$R$33),"")</f>
        <v>617.90536380000003</v>
      </c>
      <c r="S33">
        <f ca="1">IFERROR(IF(0=LEN(ReferenceData!$S$33),"",ReferenceData!$S$33),"")</f>
        <v>788.40056630000004</v>
      </c>
      <c r="T33">
        <f ca="1">IFERROR(IF(0=LEN(ReferenceData!$T$33),"",ReferenceData!$T$33),"")</f>
        <v>684.66741609999997</v>
      </c>
      <c r="U33">
        <f ca="1">IFERROR(IF(0=LEN(ReferenceData!$U$33),"",ReferenceData!$U$33),"")</f>
        <v>663.39604120000001</v>
      </c>
      <c r="V33">
        <f ca="1">IFERROR(IF(0=LEN(ReferenceData!$V$33),"",ReferenceData!$V$33),"")</f>
        <v>697.73964850000004</v>
      </c>
      <c r="W33">
        <f ca="1">IFERROR(IF(0=LEN(ReferenceData!$W$33),"",ReferenceData!$W$33),"")</f>
        <v>665.96240980000005</v>
      </c>
      <c r="X33">
        <f ca="1">IFERROR(IF(0=LEN(ReferenceData!$X$33),"",ReferenceData!$X$33),"")</f>
        <v>468.31039490000001</v>
      </c>
      <c r="Y33">
        <f ca="1">IFERROR(IF(0=LEN(ReferenceData!$Y$33),"",ReferenceData!$Y$33),"")</f>
        <v>515.69890080000005</v>
      </c>
      <c r="Z33">
        <f ca="1">IFERROR(IF(0=LEN(ReferenceData!$Z$33),"",ReferenceData!$Z$33),"")</f>
        <v>681.31006549999995</v>
      </c>
      <c r="AA33">
        <f ca="1">IFERROR(IF(0=LEN(ReferenceData!$AA$33),"",ReferenceData!$AA$33),"")</f>
        <v>643.97056039999995</v>
      </c>
      <c r="AB33">
        <f ca="1">IFERROR(IF(0=LEN(ReferenceData!$AB$33),"",ReferenceData!$AB$33),"")</f>
        <v>448.82429409999997</v>
      </c>
      <c r="AC33">
        <f ca="1">IFERROR(IF(0=LEN(ReferenceData!$AC$33),"",ReferenceData!$AC$33),"")</f>
        <v>491.38105819999998</v>
      </c>
      <c r="AD33">
        <f ca="1">IFERROR(IF(0=LEN(ReferenceData!$AD$33),"",ReferenceData!$AD$33),"")</f>
        <v>401.5325282</v>
      </c>
      <c r="AE33">
        <f ca="1">IFERROR(IF(0=LEN(ReferenceData!$AE$33),"",ReferenceData!$AE$33),"")</f>
        <v>467.37552840000001</v>
      </c>
      <c r="AF33">
        <f ca="1">IFERROR(IF(0=LEN(ReferenceData!$AF$33),"",ReferenceData!$AF$33),"")</f>
        <v>537.59271239999998</v>
      </c>
      <c r="AG33">
        <f ca="1">IFERROR(IF(0=LEN(ReferenceData!$AG$33),"",ReferenceData!$AG$33),"")</f>
        <v>673.39703489999999</v>
      </c>
      <c r="AH33">
        <f ca="1">IFERROR(IF(0=LEN(ReferenceData!$AH$33),"",ReferenceData!$AH$33),"")</f>
        <v>578.13508720000004</v>
      </c>
      <c r="AI33">
        <f ca="1">IFERROR(IF(0=LEN(ReferenceData!$AI$33),"",ReferenceData!$AI$33),"")</f>
        <v>718.66550419999999</v>
      </c>
      <c r="AJ33">
        <f ca="1">IFERROR(IF(0=LEN(ReferenceData!$AJ$33),"",ReferenceData!$AJ$33),"")</f>
        <v>506.31661050000002</v>
      </c>
      <c r="AK33">
        <f ca="1">IFERROR(IF(0=LEN(ReferenceData!$AK$33),"",ReferenceData!$AK$33),"")</f>
        <v>564.00729790000003</v>
      </c>
      <c r="AL33">
        <f ca="1">IFERROR(IF(0=LEN(ReferenceData!$AL$33),"",ReferenceData!$AL$33),"")</f>
        <v>743.55247750000001</v>
      </c>
      <c r="AM33">
        <f ca="1">IFERROR(IF(0=LEN(ReferenceData!$AM$33),"",ReferenceData!$AM$33),"")</f>
        <v>499.3613967</v>
      </c>
      <c r="AN33">
        <f ca="1">IFERROR(IF(0=LEN(ReferenceData!$AN$33),"",ReferenceData!$AN$33),"")</f>
        <v>426.8589298</v>
      </c>
      <c r="AO33">
        <f ca="1">IFERROR(IF(0=LEN(ReferenceData!$AO$33),"",ReferenceData!$AO$33),"")</f>
        <v>508.48232369999999</v>
      </c>
      <c r="AP33">
        <f ca="1">IFERROR(IF(0=LEN(ReferenceData!$AP$33),"",ReferenceData!$AP$33),"")</f>
        <v>583.53589799999997</v>
      </c>
      <c r="AQ33">
        <f ca="1">IFERROR(IF(0=LEN(ReferenceData!$AQ$33),"",ReferenceData!$AQ$33),"")</f>
        <v>483.15774379999999</v>
      </c>
      <c r="AR33">
        <f ca="1">IFERROR(IF(0=LEN(ReferenceData!$AR$33),"",ReferenceData!$AR$33),"")</f>
        <v>325.6774557</v>
      </c>
      <c r="AS33">
        <f ca="1">IFERROR(IF(0=LEN(ReferenceData!$AS$33),"",ReferenceData!$AS$33),"")</f>
        <v>381.98110320000001</v>
      </c>
      <c r="AT33">
        <f ca="1">IFERROR(IF(0=LEN(ReferenceData!$AT$33),"",ReferenceData!$AT$33),"")</f>
        <v>459.95993900000002</v>
      </c>
      <c r="AU33">
        <f ca="1">IFERROR(IF(0=LEN(ReferenceData!$AU$33),"",ReferenceData!$AU$33),"")</f>
        <v>649.59320090000006</v>
      </c>
      <c r="AV33">
        <f ca="1">IFERROR(IF(0=LEN(ReferenceData!$AV$33),"",ReferenceData!$AV$33),"")</f>
        <v>788.92574520000005</v>
      </c>
      <c r="AW33" t="str">
        <f ca="1">IFERROR(IF(0=LEN(ReferenceData!$AW$33),"",ReferenceData!$AW$33),"")</f>
        <v/>
      </c>
      <c r="AX33" t="str">
        <f ca="1">IFERROR(IF(0=LEN(ReferenceData!$AX$33),"",ReferenceData!$AX$33),"")</f>
        <v/>
      </c>
      <c r="AY33" t="str">
        <f ca="1">IFERROR(IF(0=LEN(ReferenceData!$AY$33),"",ReferenceData!$AY$33),"")</f>
        <v/>
      </c>
      <c r="AZ33" t="str">
        <f ca="1">IFERROR(IF(0=LEN(ReferenceData!$AZ$33),"",ReferenceData!$AZ$33),"")</f>
        <v/>
      </c>
      <c r="BA33" t="str">
        <f ca="1">IFERROR(IF(0=LEN(ReferenceData!$BA$33),"",ReferenceData!$BA$33),"")</f>
        <v/>
      </c>
      <c r="BB33" t="str">
        <f ca="1">IFERROR(IF(0=LEN(ReferenceData!$BB$33),"",ReferenceData!$BB$33),"")</f>
        <v/>
      </c>
      <c r="BC33" t="str">
        <f ca="1">IFERROR(IF(0=LEN(ReferenceData!$BC$33),"",ReferenceData!$BC$33),"")</f>
        <v/>
      </c>
      <c r="BD33" t="str">
        <f ca="1">IFERROR(IF(0=LEN(ReferenceData!$BD$33),"",ReferenceData!$BD$33),"")</f>
        <v/>
      </c>
      <c r="BE33" t="str">
        <f ca="1">IFERROR(IF(0=LEN(ReferenceData!$BE$33),"",ReferenceData!$BE$33),"")</f>
        <v/>
      </c>
      <c r="BF33" t="str">
        <f ca="1">IFERROR(IF(0=LEN(ReferenceData!$BF$33),"",ReferenceData!$BF$33),"")</f>
        <v/>
      </c>
      <c r="BG33" t="str">
        <f ca="1">IFERROR(IF(0=LEN(ReferenceData!$BG$33),"",ReferenceData!$BG$33),"")</f>
        <v/>
      </c>
      <c r="BH33" t="str">
        <f ca="1">IFERROR(IF(0=LEN(ReferenceData!$BH$33),"",ReferenceData!$BH$33),"")</f>
        <v/>
      </c>
      <c r="BI33" t="str">
        <f ca="1">IFERROR(IF(0=LEN(ReferenceData!$BI$33),"",ReferenceData!$BI$33),"")</f>
        <v/>
      </c>
      <c r="BJ33" t="str">
        <f ca="1">IFERROR(IF(0=LEN(ReferenceData!$BJ$33),"",ReferenceData!$BJ$33),"")</f>
        <v/>
      </c>
      <c r="BK33" t="str">
        <f ca="1">IFERROR(IF(0=LEN(ReferenceData!$BK$33),"",ReferenceData!$BK$33),"")</f>
        <v/>
      </c>
      <c r="BL33" t="str">
        <f ca="1">IFERROR(IF(0=LEN(ReferenceData!$BL$33),"",ReferenceData!$BL$33),"")</f>
        <v/>
      </c>
    </row>
    <row r="34" spans="1:64" x14ac:dyDescent="0.25">
      <c r="A34" t="str">
        <f>IFERROR(IF(0=LEN(ReferenceData!$A$34),"",ReferenceData!$A$34),"")</f>
        <v>By Geography ($M) - Isuzu</v>
      </c>
      <c r="B34" t="str">
        <f>IFERROR(IF(0=LEN(ReferenceData!$B$34),"",ReferenceData!$B$34),"")</f>
        <v>7202 JP Equity</v>
      </c>
      <c r="C34" t="str">
        <f>IFERROR(IF(0=LEN(ReferenceData!$C$34),"",ReferenceData!$C$34),"")</f>
        <v>IS010</v>
      </c>
      <c r="D34" t="str">
        <f>IFERROR(IF(0=LEN(ReferenceData!$D$34),"",ReferenceData!$D$34),"")</f>
        <v>SALES_REV_TURN</v>
      </c>
      <c r="E34" t="str">
        <f>IFERROR(IF(0=LEN(ReferenceData!$E$34),"",ReferenceData!$E$34),"")</f>
        <v>Dynamic</v>
      </c>
      <c r="F34">
        <f ca="1">IFERROR(IF(0=LEN(ReferenceData!$F$34),"",ReferenceData!$F$34),"")</f>
        <v>4908.3193179999998</v>
      </c>
      <c r="G34">
        <f ca="1">IFERROR(IF(0=LEN(ReferenceData!$G$34),"",ReferenceData!$G$34),"")</f>
        <v>4905.6033770000004</v>
      </c>
      <c r="H34">
        <f ca="1">IFERROR(IF(0=LEN(ReferenceData!$H$34),"",ReferenceData!$H$34),"")</f>
        <v>4473.9750949999998</v>
      </c>
      <c r="I34">
        <f ca="1">IFERROR(IF(0=LEN(ReferenceData!$I$34),"",ReferenceData!$I$34),"")</f>
        <v>5268.9012389999998</v>
      </c>
      <c r="J34">
        <f ca="1">IFERROR(IF(0=LEN(ReferenceData!$J$34),"",ReferenceData!$J$34),"")</f>
        <v>4561.9821910000001</v>
      </c>
      <c r="K34">
        <f ca="1">IFERROR(IF(0=LEN(ReferenceData!$K$34),"",ReferenceData!$K$34),"")</f>
        <v>4693.4310539999997</v>
      </c>
      <c r="L34">
        <f ca="1">IFERROR(IF(0=LEN(ReferenceData!$L$34),"",ReferenceData!$L$34),"")</f>
        <v>4175.1550559999996</v>
      </c>
      <c r="M34">
        <f ca="1">IFERROR(IF(0=LEN(ReferenceData!$M$34),"",ReferenceData!$M$34),"")</f>
        <v>5006.805042</v>
      </c>
      <c r="N34">
        <f ca="1">IFERROR(IF(0=LEN(ReferenceData!$N$34),"",ReferenceData!$N$34),"")</f>
        <v>4359.0351559999999</v>
      </c>
      <c r="O34">
        <f ca="1">IFERROR(IF(0=LEN(ReferenceData!$O$34),"",ReferenceData!$O$34),"")</f>
        <v>4647.2396070000004</v>
      </c>
      <c r="P34">
        <f ca="1">IFERROR(IF(0=LEN(ReferenceData!$P$34),"",ReferenceData!$P$34),"")</f>
        <v>4008.614141</v>
      </c>
      <c r="Q34">
        <f ca="1">IFERROR(IF(0=LEN(ReferenceData!$Q$34),"",ReferenceData!$Q$34),"")</f>
        <v>4433.8840749999999</v>
      </c>
      <c r="R34">
        <f ca="1">IFERROR(IF(0=LEN(ReferenceData!$R$34),"",ReferenceData!$R$34),"")</f>
        <v>3668.6349679999998</v>
      </c>
      <c r="S34">
        <f ca="1">IFERROR(IF(0=LEN(ReferenceData!$S$34),"",ReferenceData!$S$34),"")</f>
        <v>4076.6481480000002</v>
      </c>
      <c r="T34">
        <f ca="1">IFERROR(IF(0=LEN(ReferenceData!$T$34),"",ReferenceData!$T$34),"")</f>
        <v>3899.1039129999999</v>
      </c>
      <c r="U34">
        <f ca="1">IFERROR(IF(0=LEN(ReferenceData!$U$34),"",ReferenceData!$U$34),"")</f>
        <v>4450.2384190000002</v>
      </c>
      <c r="V34">
        <f ca="1">IFERROR(IF(0=LEN(ReferenceData!$V$34),"",ReferenceData!$V$34),"")</f>
        <v>4086.404599</v>
      </c>
      <c r="W34">
        <f ca="1">IFERROR(IF(0=LEN(ReferenceData!$W$34),"",ReferenceData!$W$34),"")</f>
        <v>4590.6885620000003</v>
      </c>
      <c r="X34">
        <f ca="1">IFERROR(IF(0=LEN(ReferenceData!$X$34),"",ReferenceData!$X$34),"")</f>
        <v>3965.8258449999998</v>
      </c>
      <c r="Y34">
        <f ca="1">IFERROR(IF(0=LEN(ReferenceData!$Y$34),"",ReferenceData!$Y$34),"")</f>
        <v>4559.1927100000003</v>
      </c>
      <c r="Z34">
        <f ca="1">IFERROR(IF(0=LEN(ReferenceData!$Z$34),"",ReferenceData!$Z$34),"")</f>
        <v>4153.8177260000002</v>
      </c>
      <c r="AA34">
        <f ca="1">IFERROR(IF(0=LEN(ReferenceData!$AA$34),"",ReferenceData!$AA$34),"")</f>
        <v>4577.9309320000002</v>
      </c>
      <c r="AB34">
        <f ca="1">IFERROR(IF(0=LEN(ReferenceData!$AB$34),"",ReferenceData!$AB$34),"")</f>
        <v>4281.4784540000001</v>
      </c>
      <c r="AC34">
        <f ca="1">IFERROR(IF(0=LEN(ReferenceData!$AC$34),"",ReferenceData!$AC$34),"")</f>
        <v>5100.3556019999996</v>
      </c>
      <c r="AD34">
        <f ca="1">IFERROR(IF(0=LEN(ReferenceData!$AD$34),"",ReferenceData!$AD$34),"")</f>
        <v>4999.1138639999999</v>
      </c>
      <c r="AE34">
        <f ca="1">IFERROR(IF(0=LEN(ReferenceData!$AE$34),"",ReferenceData!$AE$34),"")</f>
        <v>4939.3517609999999</v>
      </c>
      <c r="AF34">
        <f ca="1">IFERROR(IF(0=LEN(ReferenceData!$AF$34),"",ReferenceData!$AF$34),"")</f>
        <v>4892.5033540000004</v>
      </c>
      <c r="AG34">
        <f ca="1">IFERROR(IF(0=LEN(ReferenceData!$AG$34),"",ReferenceData!$AG$34),"")</f>
        <v>5495.7056679999996</v>
      </c>
      <c r="AH34">
        <f ca="1">IFERROR(IF(0=LEN(ReferenceData!$AH$34),"",ReferenceData!$AH$34),"")</f>
        <v>3961.545462</v>
      </c>
      <c r="AI34">
        <f ca="1">IFERROR(IF(0=LEN(ReferenceData!$AI$34),"",ReferenceData!$AI$34),"")</f>
        <v>4813.1374919999998</v>
      </c>
      <c r="AJ34">
        <f ca="1">IFERROR(IF(0=LEN(ReferenceData!$AJ$34),"",ReferenceData!$AJ$34),"")</f>
        <v>3488.4536130000001</v>
      </c>
      <c r="AK34">
        <f ca="1">IFERROR(IF(0=LEN(ReferenceData!$AK$34),"",ReferenceData!$AK$34),"")</f>
        <v>4198.0277980000001</v>
      </c>
      <c r="AL34">
        <f ca="1">IFERROR(IF(0=LEN(ReferenceData!$AL$34),"",ReferenceData!$AL$34),"")</f>
        <v>4185.8146660000002</v>
      </c>
      <c r="AM34">
        <f ca="1">IFERROR(IF(0=LEN(ReferenceData!$AM$34),"",ReferenceData!$AM$34),"")</f>
        <v>4182.1269110000003</v>
      </c>
      <c r="AN34">
        <f ca="1">IFERROR(IF(0=LEN(ReferenceData!$AN$34),"",ReferenceData!$AN$34),"")</f>
        <v>3980.0222309999999</v>
      </c>
      <c r="AO34">
        <f ca="1">IFERROR(IF(0=LEN(ReferenceData!$AO$34),"",ReferenceData!$AO$34),"")</f>
        <v>3893.7946889999998</v>
      </c>
      <c r="AP34">
        <f ca="1">IFERROR(IF(0=LEN(ReferenceData!$AP$34),"",ReferenceData!$AP$34),"")</f>
        <v>3173.3264389999999</v>
      </c>
      <c r="AQ34">
        <f ca="1">IFERROR(IF(0=LEN(ReferenceData!$AQ$34),"",ReferenceData!$AQ$34),"")</f>
        <v>2732.129782</v>
      </c>
      <c r="AR34">
        <f ca="1">IFERROR(IF(0=LEN(ReferenceData!$AR$34),"",ReferenceData!$AR$34),"")</f>
        <v>1925.3741259999999</v>
      </c>
      <c r="AS34">
        <f ca="1">IFERROR(IF(0=LEN(ReferenceData!$AS$34),"",ReferenceData!$AS$34),"")</f>
        <v>2401.0790569999999</v>
      </c>
      <c r="AT34">
        <f ca="1">IFERROR(IF(0=LEN(ReferenceData!$AT$34),"",ReferenceData!$AT$34),"")</f>
        <v>3551.4729170000001</v>
      </c>
      <c r="AU34">
        <f ca="1">IFERROR(IF(0=LEN(ReferenceData!$AU$34),"",ReferenceData!$AU$34),"")</f>
        <v>4132.3542799999996</v>
      </c>
      <c r="AV34">
        <f ca="1">IFERROR(IF(0=LEN(ReferenceData!$AV$34),"",ReferenceData!$AV$34),"")</f>
        <v>3969.9672129999999</v>
      </c>
      <c r="AW34" t="str">
        <f ca="1">IFERROR(IF(0=LEN(ReferenceData!$AW$34),"",ReferenceData!$AW$34),"")</f>
        <v/>
      </c>
      <c r="AX34">
        <f ca="1">IFERROR(IF(0=LEN(ReferenceData!$AX$34),"",ReferenceData!$AX$34),"")</f>
        <v>3801.2551279999998</v>
      </c>
      <c r="AY34">
        <f ca="1">IFERROR(IF(0=LEN(ReferenceData!$AY$34),"",ReferenceData!$AY$34),"")</f>
        <v>4012.5181870000001</v>
      </c>
      <c r="AZ34">
        <f ca="1">IFERROR(IF(0=LEN(ReferenceData!$AZ$34),"",ReferenceData!$AZ$34),"")</f>
        <v>3329.237928</v>
      </c>
      <c r="BA34" t="str">
        <f ca="1">IFERROR(IF(0=LEN(ReferenceData!$BA$34),"",ReferenceData!$BA$34),"")</f>
        <v/>
      </c>
      <c r="BB34">
        <f ca="1">IFERROR(IF(0=LEN(ReferenceData!$BB$34),"",ReferenceData!$BB$34),"")</f>
        <v>3408.8027929999998</v>
      </c>
      <c r="BC34">
        <f ca="1">IFERROR(IF(0=LEN(ReferenceData!$BC$34),"",ReferenceData!$BC$34),"")</f>
        <v>3688.0546159999999</v>
      </c>
      <c r="BD34">
        <f ca="1">IFERROR(IF(0=LEN(ReferenceData!$BD$34),"",ReferenceData!$BD$34),"")</f>
        <v>3463.8343679999998</v>
      </c>
      <c r="BE34">
        <f ca="1">IFERROR(IF(0=LEN(ReferenceData!$BE$34),"",ReferenceData!$BE$34),"")</f>
        <v>3834.555687</v>
      </c>
      <c r="BF34">
        <f ca="1">IFERROR(IF(0=LEN(ReferenceData!$BF$34),"",ReferenceData!$BF$34),"")</f>
        <v>3380.7008409999999</v>
      </c>
      <c r="BG34">
        <f ca="1">IFERROR(IF(0=LEN(ReferenceData!$BG$34),"",ReferenceData!$BG$34),"")</f>
        <v>3434.9425729999998</v>
      </c>
      <c r="BH34">
        <f ca="1">IFERROR(IF(0=LEN(ReferenceData!$BH$34),"",ReferenceData!$BH$34),"")</f>
        <v>3304.0785540000002</v>
      </c>
      <c r="BI34">
        <f ca="1">IFERROR(IF(0=LEN(ReferenceData!$BI$34),"",ReferenceData!$BI$34),"")</f>
        <v>3936.768286</v>
      </c>
      <c r="BJ34">
        <f ca="1">IFERROR(IF(0=LEN(ReferenceData!$BJ$34),"",ReferenceData!$BJ$34),"")</f>
        <v>3283.898052</v>
      </c>
      <c r="BK34">
        <f ca="1">IFERROR(IF(0=LEN(ReferenceData!$BK$34),"",ReferenceData!$BK$34),"")</f>
        <v>3756.0278280000002</v>
      </c>
      <c r="BL34">
        <f ca="1">IFERROR(IF(0=LEN(ReferenceData!$BL$34),"",ReferenceData!$BL$34),"")</f>
        <v>2940.1953410000001</v>
      </c>
    </row>
    <row r="35" spans="1:64" x14ac:dyDescent="0.25">
      <c r="A35" t="str">
        <f>IFERROR(IF(0=LEN(ReferenceData!$A$35),"",ReferenceData!$A$35),"")</f>
        <v xml:space="preserve">        North America - U.S.</v>
      </c>
      <c r="B35" t="str">
        <f>IFERROR(IF(0=LEN(ReferenceData!$B$35),"",ReferenceData!$B$35),"")</f>
        <v>7202 JP Equity</v>
      </c>
      <c r="C35" t="str">
        <f>IFERROR(IF(0=LEN(ReferenceData!$C$35),"",ReferenceData!$C$35),"")</f>
        <v>BI047</v>
      </c>
      <c r="D35" t="str">
        <f>IFERROR(IF(0=LEN(ReferenceData!$D$35),"",ReferenceData!$D$35),"")</f>
        <v>BICS_SEGMENT_DATA</v>
      </c>
      <c r="E35" t="str">
        <f>IFERROR(IF(0=LEN(ReferenceData!$E$35),"",ReferenceData!$E$35),"")</f>
        <v>Dynamic</v>
      </c>
      <c r="F35">
        <f ca="1">IFERROR(IF(0=LEN(ReferenceData!$F$35),"",ReferenceData!$F$35),"")</f>
        <v>388.4618438</v>
      </c>
      <c r="G35">
        <f ca="1">IFERROR(IF(0=LEN(ReferenceData!$G$35),"",ReferenceData!$G$35),"")</f>
        <v>412.54950839999998</v>
      </c>
      <c r="H35">
        <f ca="1">IFERROR(IF(0=LEN(ReferenceData!$H$35),"",ReferenceData!$H$35),"")</f>
        <v>373.18337530000002</v>
      </c>
      <c r="I35">
        <f ca="1">IFERROR(IF(0=LEN(ReferenceData!$I$35),"",ReferenceData!$I$35),"")</f>
        <v>317.47142780000001</v>
      </c>
      <c r="J35">
        <f ca="1">IFERROR(IF(0=LEN(ReferenceData!$J$35),"",ReferenceData!$J$35),"")</f>
        <v>317.09937309999998</v>
      </c>
      <c r="K35">
        <f ca="1">IFERROR(IF(0=LEN(ReferenceData!$K$35),"",ReferenceData!$K$35),"")</f>
        <v>337.78405959999998</v>
      </c>
      <c r="L35">
        <f ca="1">IFERROR(IF(0=LEN(ReferenceData!$L$35),"",ReferenceData!$L$35),"")</f>
        <v>318.95670480000001</v>
      </c>
      <c r="M35">
        <f ca="1">IFERROR(IF(0=LEN(ReferenceData!$M$35),"",ReferenceData!$M$35),"")</f>
        <v>645.35969260000002</v>
      </c>
      <c r="N35">
        <f ca="1">IFERROR(IF(0=LEN(ReferenceData!$N$35),"",ReferenceData!$N$35),"")</f>
        <v>343.28953719999998</v>
      </c>
      <c r="O35">
        <f ca="1">IFERROR(IF(0=LEN(ReferenceData!$O$35),"",ReferenceData!$O$35),"")</f>
        <v>327.79063300000001</v>
      </c>
      <c r="P35">
        <f ca="1">IFERROR(IF(0=LEN(ReferenceData!$P$35),"",ReferenceData!$P$35),"")</f>
        <v>268.26234720000002</v>
      </c>
      <c r="Q35">
        <f ca="1">IFERROR(IF(0=LEN(ReferenceData!$Q$35),"",ReferenceData!$Q$35),"")</f>
        <v>331.23082219999998</v>
      </c>
      <c r="R35">
        <f ca="1">IFERROR(IF(0=LEN(ReferenceData!$R$35),"",ReferenceData!$R$35),"")</f>
        <v>315.731898</v>
      </c>
      <c r="S35">
        <f ca="1">IFERROR(IF(0=LEN(ReferenceData!$S$35),"",ReferenceData!$S$35),"")</f>
        <v>281.34353340000001</v>
      </c>
      <c r="T35">
        <f ca="1">IFERROR(IF(0=LEN(ReferenceData!$T$35),"",ReferenceData!$T$35),"")</f>
        <v>250.80268050000001</v>
      </c>
      <c r="U35">
        <f ca="1">IFERROR(IF(0=LEN(ReferenceData!$U$35),"",ReferenceData!$U$35),"")</f>
        <v>306.54751290000002</v>
      </c>
      <c r="V35">
        <f ca="1">IFERROR(IF(0=LEN(ReferenceData!$V$35),"",ReferenceData!$V$35),"")</f>
        <v>251.22056860000001</v>
      </c>
      <c r="W35">
        <f ca="1">IFERROR(IF(0=LEN(ReferenceData!$W$35),"",ReferenceData!$W$35),"")</f>
        <v>291.39042690000002</v>
      </c>
      <c r="X35">
        <f ca="1">IFERROR(IF(0=LEN(ReferenceData!$X$35),"",ReferenceData!$X$35),"")</f>
        <v>297.97386130000001</v>
      </c>
      <c r="Y35">
        <f ca="1">IFERROR(IF(0=LEN(ReferenceData!$Y$35),"",ReferenceData!$Y$35),"")</f>
        <v>291.94725549999998</v>
      </c>
      <c r="Z35">
        <f ca="1">IFERROR(IF(0=LEN(ReferenceData!$Z$35),"",ReferenceData!$Z$35),"")</f>
        <v>251.88508899999999</v>
      </c>
      <c r="AA35">
        <f ca="1">IFERROR(IF(0=LEN(ReferenceData!$AA$35),"",ReferenceData!$AA$35),"")</f>
        <v>243.4577094</v>
      </c>
      <c r="AB35">
        <f ca="1">IFERROR(IF(0=LEN(ReferenceData!$AB$35),"",ReferenceData!$AB$35),"")</f>
        <v>195.28996000000001</v>
      </c>
      <c r="AC35">
        <f ca="1">IFERROR(IF(0=LEN(ReferenceData!$AC$35),"",ReferenceData!$AC$35),"")</f>
        <v>206.7921523</v>
      </c>
      <c r="AD35">
        <f ca="1">IFERROR(IF(0=LEN(ReferenceData!$AD$35),"",ReferenceData!$AD$35),"")</f>
        <v>178.7765512</v>
      </c>
      <c r="AE35">
        <f ca="1">IFERROR(IF(0=LEN(ReferenceData!$AE$35),"",ReferenceData!$AE$35),"")</f>
        <v>241.10218409999999</v>
      </c>
      <c r="AF35">
        <f ca="1">IFERROR(IF(0=LEN(ReferenceData!$AF$35),"",ReferenceData!$AF$35),"")</f>
        <v>247.8756789</v>
      </c>
      <c r="AG35">
        <f ca="1">IFERROR(IF(0=LEN(ReferenceData!$AG$35),"",ReferenceData!$AG$35),"")</f>
        <v>210.78751790000001</v>
      </c>
      <c r="AH35">
        <f ca="1">IFERROR(IF(0=LEN(ReferenceData!$AH$35),"",ReferenceData!$AH$35),"")</f>
        <v>220.07508429999999</v>
      </c>
      <c r="AI35">
        <f ca="1">IFERROR(IF(0=LEN(ReferenceData!$AI$35),"",ReferenceData!$AI$35),"")</f>
        <v>242.85191699999999</v>
      </c>
      <c r="AJ35">
        <f ca="1">IFERROR(IF(0=LEN(ReferenceData!$AJ$35),"",ReferenceData!$AJ$35),"")</f>
        <v>238.86191719999999</v>
      </c>
      <c r="AK35">
        <f ca="1">IFERROR(IF(0=LEN(ReferenceData!$AK$35),"",ReferenceData!$AK$35),"")</f>
        <v>176.7531765</v>
      </c>
      <c r="AL35">
        <f ca="1">IFERROR(IF(0=LEN(ReferenceData!$AL$35),"",ReferenceData!$AL$35),"")</f>
        <v>187.2572601</v>
      </c>
      <c r="AM35">
        <f ca="1">IFERROR(IF(0=LEN(ReferenceData!$AM$35),"",ReferenceData!$AM$35),"")</f>
        <v>174.28833689999999</v>
      </c>
      <c r="AN35">
        <f ca="1">IFERROR(IF(0=LEN(ReferenceData!$AN$35),"",ReferenceData!$AN$35),"")</f>
        <v>193.9062911</v>
      </c>
      <c r="AO35" t="str">
        <f ca="1">IFERROR(IF(0=LEN(ReferenceData!$AO$35),"",ReferenceData!$AO$35),"")</f>
        <v/>
      </c>
      <c r="AP35">
        <f ca="1">IFERROR(IF(0=LEN(ReferenceData!$AP$35),"",ReferenceData!$AP$35),"")</f>
        <v>138.02686370000001</v>
      </c>
      <c r="AQ35">
        <f ca="1">IFERROR(IF(0=LEN(ReferenceData!$AQ$35),"",ReferenceData!$AQ$35),"")</f>
        <v>164.5495397</v>
      </c>
      <c r="AR35">
        <f ca="1">IFERROR(IF(0=LEN(ReferenceData!$AR$35),"",ReferenceData!$AR$35),"")</f>
        <v>141.91164180000001</v>
      </c>
      <c r="AS35">
        <f ca="1">IFERROR(IF(0=LEN(ReferenceData!$AS$35),"",ReferenceData!$AS$35),"")</f>
        <v>169.9570563</v>
      </c>
      <c r="AT35">
        <f ca="1">IFERROR(IF(0=LEN(ReferenceData!$AT$35),"",ReferenceData!$AT$35),"")</f>
        <v>231.5189077</v>
      </c>
      <c r="AU35">
        <f ca="1">IFERROR(IF(0=LEN(ReferenceData!$AU$35),"",ReferenceData!$AU$35),"")</f>
        <v>208.02191070000001</v>
      </c>
      <c r="AV35">
        <f ca="1">IFERROR(IF(0=LEN(ReferenceData!$AV$35),"",ReferenceData!$AV$35),"")</f>
        <v>225.74201500000001</v>
      </c>
      <c r="AW35" t="str">
        <f ca="1">IFERROR(IF(0=LEN(ReferenceData!$AW$35),"",ReferenceData!$AW$35),"")</f>
        <v/>
      </c>
      <c r="AX35" t="str">
        <f ca="1">IFERROR(IF(0=LEN(ReferenceData!$AX$35),"",ReferenceData!$AX$35),"")</f>
        <v/>
      </c>
      <c r="AY35" t="str">
        <f ca="1">IFERROR(IF(0=LEN(ReferenceData!$AY$35),"",ReferenceData!$AY$35),"")</f>
        <v/>
      </c>
      <c r="AZ35" t="str">
        <f ca="1">IFERROR(IF(0=LEN(ReferenceData!$AZ$35),"",ReferenceData!$AZ$35),"")</f>
        <v/>
      </c>
      <c r="BA35" t="str">
        <f ca="1">IFERROR(IF(0=LEN(ReferenceData!$BA$35),"",ReferenceData!$BA$35),"")</f>
        <v/>
      </c>
      <c r="BB35" t="str">
        <f ca="1">IFERROR(IF(0=LEN(ReferenceData!$BB$35),"",ReferenceData!$BB$35),"")</f>
        <v/>
      </c>
      <c r="BC35" t="str">
        <f ca="1">IFERROR(IF(0=LEN(ReferenceData!$BC$35),"",ReferenceData!$BC$35),"")</f>
        <v/>
      </c>
      <c r="BD35" t="str">
        <f ca="1">IFERROR(IF(0=LEN(ReferenceData!$BD$35),"",ReferenceData!$BD$35),"")</f>
        <v/>
      </c>
      <c r="BE35" t="str">
        <f ca="1">IFERROR(IF(0=LEN(ReferenceData!$BE$35),"",ReferenceData!$BE$35),"")</f>
        <v/>
      </c>
      <c r="BF35" t="str">
        <f ca="1">IFERROR(IF(0=LEN(ReferenceData!$BF$35),"",ReferenceData!$BF$35),"")</f>
        <v/>
      </c>
      <c r="BG35" t="str">
        <f ca="1">IFERROR(IF(0=LEN(ReferenceData!$BG$35),"",ReferenceData!$BG$35),"")</f>
        <v/>
      </c>
      <c r="BH35" t="str">
        <f ca="1">IFERROR(IF(0=LEN(ReferenceData!$BH$35),"",ReferenceData!$BH$35),"")</f>
        <v/>
      </c>
      <c r="BI35" t="str">
        <f ca="1">IFERROR(IF(0=LEN(ReferenceData!$BI$35),"",ReferenceData!$BI$35),"")</f>
        <v/>
      </c>
      <c r="BJ35" t="str">
        <f ca="1">IFERROR(IF(0=LEN(ReferenceData!$BJ$35),"",ReferenceData!$BJ$35),"")</f>
        <v/>
      </c>
      <c r="BK35" t="str">
        <f ca="1">IFERROR(IF(0=LEN(ReferenceData!$BK$35),"",ReferenceData!$BK$35),"")</f>
        <v/>
      </c>
      <c r="BL35" t="str">
        <f ca="1">IFERROR(IF(0=LEN(ReferenceData!$BL$35),"",ReferenceData!$BL$35),"")</f>
        <v/>
      </c>
    </row>
    <row r="36" spans="1:64" x14ac:dyDescent="0.25">
      <c r="A36" t="str">
        <f>IFERROR(IF(0=LEN(ReferenceData!$A$36),"",ReferenceData!$A$36),"")</f>
        <v>By Geography ($M) - Tesla</v>
      </c>
      <c r="B36" t="str">
        <f>IFERROR(IF(0=LEN(ReferenceData!$B$36),"",ReferenceData!$B$36),"")</f>
        <v>TSLA US Equity</v>
      </c>
      <c r="C36" t="str">
        <f>IFERROR(IF(0=LEN(ReferenceData!$C$36),"",ReferenceData!$C$36),"")</f>
        <v>IS010</v>
      </c>
      <c r="D36" t="str">
        <f>IFERROR(IF(0=LEN(ReferenceData!$D$36),"",ReferenceData!$D$36),"")</f>
        <v>SALES_REV_TURN</v>
      </c>
      <c r="E36" t="str">
        <f>IFERROR(IF(0=LEN(ReferenceData!$E$36),"",ReferenceData!$E$36),"")</f>
        <v>Dynamic</v>
      </c>
      <c r="F36">
        <f ca="1">IFERROR(IF(0=LEN(ReferenceData!$F$36),"",ReferenceData!$F$36),"")</f>
        <v>7225.8729999999996</v>
      </c>
      <c r="G36">
        <f ca="1">IFERROR(IF(0=LEN(ReferenceData!$G$36),"",ReferenceData!$G$36),"")</f>
        <v>6824.4129999999996</v>
      </c>
      <c r="H36">
        <f ca="1">IFERROR(IF(0=LEN(ReferenceData!$H$36),"",ReferenceData!$H$36),"")</f>
        <v>4002.2310000000002</v>
      </c>
      <c r="I36">
        <f ca="1">IFERROR(IF(0=LEN(ReferenceData!$I$36),"",ReferenceData!$I$36),"")</f>
        <v>3408.7510000000002</v>
      </c>
      <c r="J36">
        <f ca="1">IFERROR(IF(0=LEN(ReferenceData!$J$36),"",ReferenceData!$J$36),"")</f>
        <v>3288.2489999999998</v>
      </c>
      <c r="K36">
        <f ca="1">IFERROR(IF(0=LEN(ReferenceData!$K$36),"",ReferenceData!$K$36),"")</f>
        <v>2984.6750000000002</v>
      </c>
      <c r="L36">
        <f ca="1">IFERROR(IF(0=LEN(ReferenceData!$L$36),"",ReferenceData!$L$36),"")</f>
        <v>2789.5569999999998</v>
      </c>
      <c r="M36">
        <f ca="1">IFERROR(IF(0=LEN(ReferenceData!$M$36),"",ReferenceData!$M$36),"")</f>
        <v>2696.27</v>
      </c>
      <c r="N36">
        <f ca="1">IFERROR(IF(0=LEN(ReferenceData!$N$36),"",ReferenceData!$N$36),"")</f>
        <v>2284.6309999999999</v>
      </c>
      <c r="O36">
        <f ca="1">IFERROR(IF(0=LEN(ReferenceData!$O$36),"",ReferenceData!$O$36),"")</f>
        <v>2298.4360000000001</v>
      </c>
      <c r="P36">
        <f ca="1">IFERROR(IF(0=LEN(ReferenceData!$P$36),"",ReferenceData!$P$36),"")</f>
        <v>1270.0170000000001</v>
      </c>
      <c r="Q36">
        <f ca="1">IFERROR(IF(0=LEN(ReferenceData!$Q$36),"",ReferenceData!$Q$36),"")</f>
        <v>1147.048</v>
      </c>
      <c r="R36">
        <f ca="1">IFERROR(IF(0=LEN(ReferenceData!$R$36),"",ReferenceData!$R$36),"")</f>
        <v>1214.3789999999999</v>
      </c>
      <c r="S36">
        <f ca="1">IFERROR(IF(0=LEN(ReferenceData!$S$36),"",ReferenceData!$S$36),"")</f>
        <v>936.78899999999999</v>
      </c>
      <c r="T36">
        <f ca="1">IFERROR(IF(0=LEN(ReferenceData!$T$36),"",ReferenceData!$T$36),"")</f>
        <v>954.976</v>
      </c>
      <c r="U36">
        <f ca="1">IFERROR(IF(0=LEN(ReferenceData!$U$36),"",ReferenceData!$U$36),"")</f>
        <v>939.88</v>
      </c>
      <c r="V36">
        <f ca="1">IFERROR(IF(0=LEN(ReferenceData!$V$36),"",ReferenceData!$V$36),"")</f>
        <v>956.66099999999994</v>
      </c>
      <c r="W36">
        <f ca="1">IFERROR(IF(0=LEN(ReferenceData!$W$36),"",ReferenceData!$W$36),"")</f>
        <v>851.80399999999997</v>
      </c>
      <c r="X36">
        <f ca="1">IFERROR(IF(0=LEN(ReferenceData!$X$36),"",ReferenceData!$X$36),"")</f>
        <v>769.34900000000005</v>
      </c>
      <c r="Y36">
        <f ca="1">IFERROR(IF(0=LEN(ReferenceData!$Y$36),"",ReferenceData!$Y$36),"")</f>
        <v>620.54200000000003</v>
      </c>
      <c r="Z36">
        <f ca="1">IFERROR(IF(0=LEN(ReferenceData!$Z$36),"",ReferenceData!$Z$36),"")</f>
        <v>615.21900000000005</v>
      </c>
      <c r="AA36">
        <f ca="1">IFERROR(IF(0=LEN(ReferenceData!$AA$36),"",ReferenceData!$AA$36),"")</f>
        <v>431.346</v>
      </c>
      <c r="AB36">
        <f ca="1">IFERROR(IF(0=LEN(ReferenceData!$AB$36),"",ReferenceData!$AB$36),"")</f>
        <v>405.13900000000001</v>
      </c>
      <c r="AC36">
        <f ca="1">IFERROR(IF(0=LEN(ReferenceData!$AC$36),"",ReferenceData!$AC$36),"")</f>
        <v>561.79200000000003</v>
      </c>
      <c r="AD36">
        <f ca="1">IFERROR(IF(0=LEN(ReferenceData!$AD$36),"",ReferenceData!$AD$36),"")</f>
        <v>306.33199999999999</v>
      </c>
      <c r="AE36">
        <f ca="1">IFERROR(IF(0=LEN(ReferenceData!$AE$36),"",ReferenceData!$AE$36),"")</f>
        <v>50.103999999999999</v>
      </c>
      <c r="AF36">
        <f ca="1">IFERROR(IF(0=LEN(ReferenceData!$AF$36),"",ReferenceData!$AF$36),"")</f>
        <v>26.652999999999999</v>
      </c>
      <c r="AG36">
        <f ca="1">IFERROR(IF(0=LEN(ReferenceData!$AG$36),"",ReferenceData!$AG$36),"")</f>
        <v>30.167000000000002</v>
      </c>
      <c r="AH36">
        <f ca="1">IFERROR(IF(0=LEN(ReferenceData!$AH$36),"",ReferenceData!$AH$36),"")</f>
        <v>39.375</v>
      </c>
      <c r="AI36">
        <f ca="1">IFERROR(IF(0=LEN(ReferenceData!$AI$36),"",ReferenceData!$AI$36),"")</f>
        <v>57.665999999999997</v>
      </c>
      <c r="AJ36">
        <f ca="1">IFERROR(IF(0=LEN(ReferenceData!$AJ$36),"",ReferenceData!$AJ$36),"")</f>
        <v>58.170999999999999</v>
      </c>
      <c r="AK36">
        <f ca="1">IFERROR(IF(0=LEN(ReferenceData!$AK$36),"",ReferenceData!$AK$36),"")</f>
        <v>49.03</v>
      </c>
      <c r="AL36">
        <f ca="1">IFERROR(IF(0=LEN(ReferenceData!$AL$36),"",ReferenceData!$AL$36),"")</f>
        <v>36.286000000000001</v>
      </c>
      <c r="AM36">
        <f ca="1">IFERROR(IF(0=LEN(ReferenceData!$AM$36),"",ReferenceData!$AM$36),"")</f>
        <v>31.241</v>
      </c>
      <c r="AN36">
        <f ca="1">IFERROR(IF(0=LEN(ReferenceData!$AN$36),"",ReferenceData!$AN$36),"")</f>
        <v>28.405000000000001</v>
      </c>
      <c r="AO36">
        <f ca="1">IFERROR(IF(0=LEN(ReferenceData!$AO$36),"",ReferenceData!$AO$36),"")</f>
        <v>20.812000000000001</v>
      </c>
      <c r="AP36">
        <f ca="1">IFERROR(IF(0=LEN(ReferenceData!$AP$36),"",ReferenceData!$AP$36),"")</f>
        <v>18.585000000000001</v>
      </c>
      <c r="AQ36" t="str">
        <f ca="1">IFERROR(IF(0=LEN(ReferenceData!$AQ$36),"",ReferenceData!$AQ$36),"")</f>
        <v/>
      </c>
      <c r="AR36" t="str">
        <f ca="1">IFERROR(IF(0=LEN(ReferenceData!$AR$36),"",ReferenceData!$AR$36),"")</f>
        <v/>
      </c>
      <c r="AS36" t="str">
        <f ca="1">IFERROR(IF(0=LEN(ReferenceData!$AS$36),"",ReferenceData!$AS$36),"")</f>
        <v/>
      </c>
      <c r="AT36" t="str">
        <f ca="1">IFERROR(IF(0=LEN(ReferenceData!$AT$36),"",ReferenceData!$AT$36),"")</f>
        <v/>
      </c>
      <c r="AU36" t="str">
        <f ca="1">IFERROR(IF(0=LEN(ReferenceData!$AU$36),"",ReferenceData!$AU$36),"")</f>
        <v/>
      </c>
      <c r="AV36" t="str">
        <f ca="1">IFERROR(IF(0=LEN(ReferenceData!$AV$36),"",ReferenceData!$AV$36),"")</f>
        <v/>
      </c>
      <c r="AW36" t="str">
        <f ca="1">IFERROR(IF(0=LEN(ReferenceData!$AW$36),"",ReferenceData!$AW$36),"")</f>
        <v/>
      </c>
      <c r="AX36" t="str">
        <f ca="1">IFERROR(IF(0=LEN(ReferenceData!$AX$36),"",ReferenceData!$AX$36),"")</f>
        <v/>
      </c>
      <c r="AY36" t="str">
        <f ca="1">IFERROR(IF(0=LEN(ReferenceData!$AY$36),"",ReferenceData!$AY$36),"")</f>
        <v/>
      </c>
      <c r="AZ36" t="str">
        <f ca="1">IFERROR(IF(0=LEN(ReferenceData!$AZ$36),"",ReferenceData!$AZ$36),"")</f>
        <v/>
      </c>
      <c r="BA36" t="str">
        <f ca="1">IFERROR(IF(0=LEN(ReferenceData!$BA$36),"",ReferenceData!$BA$36),"")</f>
        <v/>
      </c>
      <c r="BB36" t="str">
        <f ca="1">IFERROR(IF(0=LEN(ReferenceData!$BB$36),"",ReferenceData!$BB$36),"")</f>
        <v/>
      </c>
      <c r="BC36" t="str">
        <f ca="1">IFERROR(IF(0=LEN(ReferenceData!$BC$36),"",ReferenceData!$BC$36),"")</f>
        <v/>
      </c>
      <c r="BD36" t="str">
        <f ca="1">IFERROR(IF(0=LEN(ReferenceData!$BD$36),"",ReferenceData!$BD$36),"")</f>
        <v/>
      </c>
      <c r="BE36" t="str">
        <f ca="1">IFERROR(IF(0=LEN(ReferenceData!$BE$36),"",ReferenceData!$BE$36),"")</f>
        <v/>
      </c>
      <c r="BF36" t="str">
        <f ca="1">IFERROR(IF(0=LEN(ReferenceData!$BF$36),"",ReferenceData!$BF$36),"")</f>
        <v/>
      </c>
      <c r="BG36" t="str">
        <f ca="1">IFERROR(IF(0=LEN(ReferenceData!$BG$36),"",ReferenceData!$BG$36),"")</f>
        <v/>
      </c>
      <c r="BH36" t="str">
        <f ca="1">IFERROR(IF(0=LEN(ReferenceData!$BH$36),"",ReferenceData!$BH$36),"")</f>
        <v/>
      </c>
      <c r="BI36" t="str">
        <f ca="1">IFERROR(IF(0=LEN(ReferenceData!$BI$36),"",ReferenceData!$BI$36),"")</f>
        <v/>
      </c>
      <c r="BJ36" t="str">
        <f ca="1">IFERROR(IF(0=LEN(ReferenceData!$BJ$36),"",ReferenceData!$BJ$36),"")</f>
        <v/>
      </c>
      <c r="BK36" t="str">
        <f ca="1">IFERROR(IF(0=LEN(ReferenceData!$BK$36),"",ReferenceData!$BK$36),"")</f>
        <v/>
      </c>
      <c r="BL36" t="str">
        <f ca="1">IFERROR(IF(0=LEN(ReferenceData!$BL$36),"",ReferenceData!$BL$36),"")</f>
        <v/>
      </c>
    </row>
    <row r="37" spans="1:64" x14ac:dyDescent="0.25">
      <c r="A37" t="str">
        <f>IFERROR(IF(0=LEN(ReferenceData!$A$37),"",ReferenceData!$A$37),"")</f>
        <v xml:space="preserve">        Americas</v>
      </c>
      <c r="B37" t="str">
        <f>IFERROR(IF(0=LEN(ReferenceData!$B$37),"",ReferenceData!$B$37),"")</f>
        <v>TSLA US Equity</v>
      </c>
      <c r="C37" t="str">
        <f>IFERROR(IF(0=LEN(ReferenceData!$C$37),"",ReferenceData!$C$37),"")</f>
        <v>BI047</v>
      </c>
      <c r="D37" t="str">
        <f>IFERROR(IF(0=LEN(ReferenceData!$D$37),"",ReferenceData!$D$37),"")</f>
        <v>BICS_SEGMENT_DATA</v>
      </c>
      <c r="E37" t="str">
        <f>IFERROR(IF(0=LEN(ReferenceData!$E$37),"",ReferenceData!$E$37),"")</f>
        <v>Dynamic</v>
      </c>
      <c r="F37" t="str">
        <f ca="1">IFERROR(IF(0=LEN(ReferenceData!$F$37),"",ReferenceData!$F$37),"")</f>
        <v/>
      </c>
      <c r="G37" t="str">
        <f ca="1">IFERROR(IF(0=LEN(ReferenceData!$G$37),"",ReferenceData!$G$37),"")</f>
        <v/>
      </c>
      <c r="H37" t="str">
        <f ca="1">IFERROR(IF(0=LEN(ReferenceData!$H$37),"",ReferenceData!$H$37),"")</f>
        <v/>
      </c>
      <c r="I37" t="str">
        <f ca="1">IFERROR(IF(0=LEN(ReferenceData!$I$37),"",ReferenceData!$I$37),"")</f>
        <v/>
      </c>
      <c r="J37" t="str">
        <f ca="1">IFERROR(IF(0=LEN(ReferenceData!$J$37),"",ReferenceData!$J$37),"")</f>
        <v/>
      </c>
      <c r="K37" t="str">
        <f ca="1">IFERROR(IF(0=LEN(ReferenceData!$K$37),"",ReferenceData!$K$37),"")</f>
        <v/>
      </c>
      <c r="L37" t="str">
        <f ca="1">IFERROR(IF(0=LEN(ReferenceData!$L$37),"",ReferenceData!$L$37),"")</f>
        <v/>
      </c>
      <c r="M37" t="str">
        <f ca="1">IFERROR(IF(0=LEN(ReferenceData!$M$37),"",ReferenceData!$M$37),"")</f>
        <v/>
      </c>
      <c r="N37" t="str">
        <f ca="1">IFERROR(IF(0=LEN(ReferenceData!$N$37),"",ReferenceData!$N$37),"")</f>
        <v/>
      </c>
      <c r="O37" t="str">
        <f ca="1">IFERROR(IF(0=LEN(ReferenceData!$O$37),"",ReferenceData!$O$37),"")</f>
        <v/>
      </c>
      <c r="P37" t="str">
        <f ca="1">IFERROR(IF(0=LEN(ReferenceData!$P$37),"",ReferenceData!$P$37),"")</f>
        <v/>
      </c>
      <c r="Q37" t="str">
        <f ca="1">IFERROR(IF(0=LEN(ReferenceData!$Q$37),"",ReferenceData!$Q$37),"")</f>
        <v/>
      </c>
      <c r="R37" t="str">
        <f ca="1">IFERROR(IF(0=LEN(ReferenceData!$R$37),"",ReferenceData!$R$37),"")</f>
        <v/>
      </c>
      <c r="S37" t="str">
        <f ca="1">IFERROR(IF(0=LEN(ReferenceData!$S$37),"",ReferenceData!$S$37),"")</f>
        <v/>
      </c>
      <c r="T37" t="str">
        <f ca="1">IFERROR(IF(0=LEN(ReferenceData!$T$37),"",ReferenceData!$T$37),"")</f>
        <v/>
      </c>
      <c r="U37" t="str">
        <f ca="1">IFERROR(IF(0=LEN(ReferenceData!$U$37),"",ReferenceData!$U$37),"")</f>
        <v/>
      </c>
      <c r="V37" t="str">
        <f ca="1">IFERROR(IF(0=LEN(ReferenceData!$V$37),"",ReferenceData!$V$37),"")</f>
        <v/>
      </c>
      <c r="W37" t="str">
        <f ca="1">IFERROR(IF(0=LEN(ReferenceData!$W$37),"",ReferenceData!$W$37),"")</f>
        <v/>
      </c>
      <c r="X37" t="str">
        <f ca="1">IFERROR(IF(0=LEN(ReferenceData!$X$37),"",ReferenceData!$X$37),"")</f>
        <v/>
      </c>
      <c r="Y37">
        <f ca="1">IFERROR(IF(0=LEN(ReferenceData!$Y$37),"",ReferenceData!$Y$37),"")</f>
        <v>288.37900000000002</v>
      </c>
      <c r="Z37" t="str">
        <f ca="1">IFERROR(IF(0=LEN(ReferenceData!$Z$37),"",ReferenceData!$Z$37),"")</f>
        <v/>
      </c>
      <c r="AA37">
        <f ca="1">IFERROR(IF(0=LEN(ReferenceData!$AA$37),"",ReferenceData!$AA$37),"")</f>
        <v>285.21100000000001</v>
      </c>
      <c r="AB37">
        <f ca="1">IFERROR(IF(0=LEN(ReferenceData!$AB$37),"",ReferenceData!$AB$37),"")</f>
        <v>400.137</v>
      </c>
      <c r="AC37">
        <f ca="1">IFERROR(IF(0=LEN(ReferenceData!$AC$37),"",ReferenceData!$AC$37),"")</f>
        <v>552.49599999999998</v>
      </c>
      <c r="AD37">
        <f ca="1">IFERROR(IF(0=LEN(ReferenceData!$AD$37),"",ReferenceData!$AD$37),"")</f>
        <v>288.92500000000001</v>
      </c>
      <c r="AE37">
        <f ca="1">IFERROR(IF(0=LEN(ReferenceData!$AE$37),"",ReferenceData!$AE$37),"")</f>
        <v>41.152999999999999</v>
      </c>
      <c r="AF37">
        <f ca="1">IFERROR(IF(0=LEN(ReferenceData!$AF$37),"",ReferenceData!$AF$37),"")</f>
        <v>8.1440000000000001</v>
      </c>
      <c r="AG37">
        <f ca="1">IFERROR(IF(0=LEN(ReferenceData!$AG$37),"",ReferenceData!$AG$37),"")</f>
        <v>17.108000000000001</v>
      </c>
      <c r="AH37">
        <f ca="1">IFERROR(IF(0=LEN(ReferenceData!$AH$37),"",ReferenceData!$AH$37),"")</f>
        <v>19.951000000000001</v>
      </c>
      <c r="AI37">
        <f ca="1">IFERROR(IF(0=LEN(ReferenceData!$AI$37),"",ReferenceData!$AI$37),"")</f>
        <v>31.356999999999999</v>
      </c>
      <c r="AJ37">
        <f ca="1">IFERROR(IF(0=LEN(ReferenceData!$AJ$37),"",ReferenceData!$AJ$37),"")</f>
        <v>33.515999999999998</v>
      </c>
      <c r="AK37">
        <f ca="1">IFERROR(IF(0=LEN(ReferenceData!$AK$37),"",ReferenceData!$AK$37),"")</f>
        <v>24.408999999999999</v>
      </c>
      <c r="AL37">
        <f ca="1">IFERROR(IF(0=LEN(ReferenceData!$AL$37),"",ReferenceData!$AL$37),"")</f>
        <v>14.22</v>
      </c>
      <c r="AM37">
        <f ca="1">IFERROR(IF(0=LEN(ReferenceData!$AM$37),"",ReferenceData!$AM$37),"")</f>
        <v>8.5860000000000003</v>
      </c>
      <c r="AN37">
        <f ca="1">IFERROR(IF(0=LEN(ReferenceData!$AN$37),"",ReferenceData!$AN$37),"")</f>
        <v>9.8409999999999993</v>
      </c>
      <c r="AO37">
        <f ca="1">IFERROR(IF(0=LEN(ReferenceData!$AO$37),"",ReferenceData!$AO$37),"")</f>
        <v>9.2189999999999994</v>
      </c>
      <c r="AP37" t="str">
        <f ca="1">IFERROR(IF(0=LEN(ReferenceData!$AP$37),"",ReferenceData!$AP$37),"")</f>
        <v/>
      </c>
      <c r="AQ37" t="str">
        <f ca="1">IFERROR(IF(0=LEN(ReferenceData!$AQ$37),"",ReferenceData!$AQ$37),"")</f>
        <v/>
      </c>
      <c r="AR37" t="str">
        <f ca="1">IFERROR(IF(0=LEN(ReferenceData!$AR$37),"",ReferenceData!$AR$37),"")</f>
        <v/>
      </c>
      <c r="AS37" t="str">
        <f ca="1">IFERROR(IF(0=LEN(ReferenceData!$AS$37),"",ReferenceData!$AS$37),"")</f>
        <v/>
      </c>
      <c r="AT37" t="str">
        <f ca="1">IFERROR(IF(0=LEN(ReferenceData!$AT$37),"",ReferenceData!$AT$37),"")</f>
        <v/>
      </c>
      <c r="AU37" t="str">
        <f ca="1">IFERROR(IF(0=LEN(ReferenceData!$AU$37),"",ReferenceData!$AU$37),"")</f>
        <v/>
      </c>
      <c r="AV37" t="str">
        <f ca="1">IFERROR(IF(0=LEN(ReferenceData!$AV$37),"",ReferenceData!$AV$37),"")</f>
        <v/>
      </c>
      <c r="AW37" t="str">
        <f ca="1">IFERROR(IF(0=LEN(ReferenceData!$AW$37),"",ReferenceData!$AW$37),"")</f>
        <v/>
      </c>
      <c r="AX37" t="str">
        <f ca="1">IFERROR(IF(0=LEN(ReferenceData!$AX$37),"",ReferenceData!$AX$37),"")</f>
        <v/>
      </c>
      <c r="AY37" t="str">
        <f ca="1">IFERROR(IF(0=LEN(ReferenceData!$AY$37),"",ReferenceData!$AY$37),"")</f>
        <v/>
      </c>
      <c r="AZ37" t="str">
        <f ca="1">IFERROR(IF(0=LEN(ReferenceData!$AZ$37),"",ReferenceData!$AZ$37),"")</f>
        <v/>
      </c>
      <c r="BA37" t="str">
        <f ca="1">IFERROR(IF(0=LEN(ReferenceData!$BA$37),"",ReferenceData!$BA$37),"")</f>
        <v/>
      </c>
      <c r="BB37" t="str">
        <f ca="1">IFERROR(IF(0=LEN(ReferenceData!$BB$37),"",ReferenceData!$BB$37),"")</f>
        <v/>
      </c>
      <c r="BC37" t="str">
        <f ca="1">IFERROR(IF(0=LEN(ReferenceData!$BC$37),"",ReferenceData!$BC$37),"")</f>
        <v/>
      </c>
      <c r="BD37" t="str">
        <f ca="1">IFERROR(IF(0=LEN(ReferenceData!$BD$37),"",ReferenceData!$BD$37),"")</f>
        <v/>
      </c>
      <c r="BE37" t="str">
        <f ca="1">IFERROR(IF(0=LEN(ReferenceData!$BE$37),"",ReferenceData!$BE$37),"")</f>
        <v/>
      </c>
      <c r="BF37" t="str">
        <f ca="1">IFERROR(IF(0=LEN(ReferenceData!$BF$37),"",ReferenceData!$BF$37),"")</f>
        <v/>
      </c>
      <c r="BG37" t="str">
        <f ca="1">IFERROR(IF(0=LEN(ReferenceData!$BG$37),"",ReferenceData!$BG$37),"")</f>
        <v/>
      </c>
      <c r="BH37" t="str">
        <f ca="1">IFERROR(IF(0=LEN(ReferenceData!$BH$37),"",ReferenceData!$BH$37),"")</f>
        <v/>
      </c>
      <c r="BI37" t="str">
        <f ca="1">IFERROR(IF(0=LEN(ReferenceData!$BI$37),"",ReferenceData!$BI$37),"")</f>
        <v/>
      </c>
      <c r="BJ37" t="str">
        <f ca="1">IFERROR(IF(0=LEN(ReferenceData!$BJ$37),"",ReferenceData!$BJ$37),"")</f>
        <v/>
      </c>
      <c r="BK37" t="str">
        <f ca="1">IFERROR(IF(0=LEN(ReferenceData!$BK$37),"",ReferenceData!$BK$37),"")</f>
        <v/>
      </c>
      <c r="BL37" t="str">
        <f ca="1">IFERROR(IF(0=LEN(ReferenceData!$BL$37),"",ReferenceData!$BL$37),"")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17"/>
  <sheetViews>
    <sheetView workbookViewId="0"/>
  </sheetViews>
  <sheetFormatPr defaultRowHeight="15" x14ac:dyDescent="0.25"/>
  <cols>
    <col min="1" max="1" width="56.28515625" customWidth="1"/>
    <col min="2" max="2" width="15.85546875" customWidth="1"/>
    <col min="3" max="123" width="9.140625" bestFit="1" customWidth="1"/>
  </cols>
  <sheetData>
    <row r="1" spans="1:12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</row>
    <row r="2" spans="1:123" x14ac:dyDescent="0.25">
      <c r="A2" s="1" t="str">
        <f>"Description"</f>
        <v>Description</v>
      </c>
      <c r="B2" s="1" t="str">
        <f>"Ticker"</f>
        <v>Ticker</v>
      </c>
      <c r="C2" s="1" t="str">
        <f>"Field ID"</f>
        <v>Field ID</v>
      </c>
      <c r="D2" s="1" t="str">
        <f>"Field Mnemonic"</f>
        <v>Field Mnemonic</v>
      </c>
      <c r="E2" s="1" t="str">
        <f>"Data State"</f>
        <v>Data State</v>
      </c>
      <c r="F2" s="1" t="str">
        <f>ReferenceData!$C$108</f>
        <v>2018 Q4</v>
      </c>
      <c r="G2" s="1" t="str">
        <f>ReferenceData!$D$108</f>
        <v>2018 Q3</v>
      </c>
      <c r="H2" s="1" t="str">
        <f>ReferenceData!$E$108</f>
        <v>2018 Q2</v>
      </c>
      <c r="I2" s="1" t="str">
        <f>ReferenceData!$F$108</f>
        <v>2018 Q1</v>
      </c>
      <c r="J2" s="1" t="str">
        <f>ReferenceData!$G$108</f>
        <v>2017 Q4</v>
      </c>
      <c r="K2" s="1" t="str">
        <f>ReferenceData!$H$108</f>
        <v>2017 Q3</v>
      </c>
      <c r="L2" s="1" t="str">
        <f>ReferenceData!$I$108</f>
        <v>2017 Q2</v>
      </c>
      <c r="M2" s="1" t="str">
        <f>ReferenceData!$J$108</f>
        <v>2017 Q1</v>
      </c>
      <c r="N2" s="1" t="str">
        <f>ReferenceData!$K$108</f>
        <v>2016 Q4</v>
      </c>
      <c r="O2" s="1" t="str">
        <f>ReferenceData!$L$108</f>
        <v>2016 Q3</v>
      </c>
      <c r="P2" s="1" t="str">
        <f>ReferenceData!$M$108</f>
        <v>2016 Q2</v>
      </c>
      <c r="Q2" s="1" t="str">
        <f>ReferenceData!$N$108</f>
        <v>2016 Q1</v>
      </c>
      <c r="R2" s="1" t="str">
        <f>ReferenceData!$O$108</f>
        <v>2015 Q4</v>
      </c>
      <c r="S2" s="1" t="str">
        <f>ReferenceData!$P$108</f>
        <v>2015 Q3</v>
      </c>
      <c r="T2" s="1" t="str">
        <f>ReferenceData!$Q$108</f>
        <v>2015 Q2</v>
      </c>
      <c r="U2" s="1" t="str">
        <f>ReferenceData!$R$108</f>
        <v>2015 Q1</v>
      </c>
      <c r="V2" s="1" t="str">
        <f>ReferenceData!$S$108</f>
        <v>2014 Q4</v>
      </c>
      <c r="W2" s="1" t="str">
        <f>ReferenceData!$T$108</f>
        <v>2014 Q3</v>
      </c>
      <c r="X2" s="1" t="str">
        <f>ReferenceData!$U$108</f>
        <v>2014 Q2</v>
      </c>
      <c r="Y2" s="1" t="str">
        <f>ReferenceData!$V$108</f>
        <v>2014 Q1</v>
      </c>
      <c r="Z2" s="1" t="str">
        <f>ReferenceData!$W$108</f>
        <v>2013 Q4</v>
      </c>
      <c r="AA2" s="1" t="str">
        <f>ReferenceData!$X$108</f>
        <v>2013 Q3</v>
      </c>
      <c r="AB2" s="1" t="str">
        <f>ReferenceData!$Y$108</f>
        <v>2013 Q2</v>
      </c>
      <c r="AC2" s="1" t="str">
        <f>ReferenceData!$Z$108</f>
        <v>2013 Q1</v>
      </c>
      <c r="AD2" s="1" t="str">
        <f>ReferenceData!$AA$108</f>
        <v>2012 Q4</v>
      </c>
      <c r="AE2" s="1" t="str">
        <f>ReferenceData!$AB$108</f>
        <v>2012 Q3</v>
      </c>
      <c r="AF2" s="1" t="str">
        <f>ReferenceData!$AC$108</f>
        <v>2012 Q2</v>
      </c>
      <c r="AG2" s="1" t="str">
        <f>ReferenceData!$AD$108</f>
        <v>2012 Q1</v>
      </c>
      <c r="AH2" s="1" t="str">
        <f>ReferenceData!$AE$108</f>
        <v>2011 Q4</v>
      </c>
      <c r="AI2" s="1" t="str">
        <f>ReferenceData!$AF$108</f>
        <v>2011 Q3</v>
      </c>
      <c r="AJ2" s="1" t="str">
        <f>ReferenceData!$AG$108</f>
        <v>2011 Q2</v>
      </c>
      <c r="AK2" s="1" t="str">
        <f>ReferenceData!$AH$108</f>
        <v>2011 Q1</v>
      </c>
      <c r="AL2" s="1" t="str">
        <f>ReferenceData!$AI$108</f>
        <v>2010 Q4</v>
      </c>
      <c r="AM2" s="1" t="str">
        <f>ReferenceData!$AJ$108</f>
        <v>2010 Q3</v>
      </c>
      <c r="AN2" s="1" t="str">
        <f>ReferenceData!$AK$108</f>
        <v>2010 Q2</v>
      </c>
      <c r="AO2" s="1" t="str">
        <f>ReferenceData!$AL$108</f>
        <v>2010 Q1</v>
      </c>
      <c r="AP2" s="1" t="str">
        <f>ReferenceData!$AM$108</f>
        <v>2009 Q4</v>
      </c>
      <c r="AQ2" s="1" t="str">
        <f>ReferenceData!$AN$108</f>
        <v>2009 Q3</v>
      </c>
      <c r="AR2" s="1" t="str">
        <f>ReferenceData!$AO$108</f>
        <v>2009 Q2</v>
      </c>
      <c r="AS2" s="1" t="str">
        <f>ReferenceData!$AP$108</f>
        <v>2009 Q1</v>
      </c>
      <c r="AT2" s="1" t="str">
        <f>ReferenceData!$AQ$108</f>
        <v>2008 Q4</v>
      </c>
      <c r="AU2" s="1" t="str">
        <f>ReferenceData!$AR$108</f>
        <v>2008 Q3</v>
      </c>
      <c r="AV2" s="1" t="str">
        <f>ReferenceData!$AS$108</f>
        <v>2008 Q2</v>
      </c>
      <c r="AW2" s="1" t="str">
        <f>ReferenceData!$AT$108</f>
        <v>2008 Q1</v>
      </c>
      <c r="AX2" s="1" t="str">
        <f>ReferenceData!$AU$108</f>
        <v>2007 Q4</v>
      </c>
      <c r="AY2" s="1" t="str">
        <f>ReferenceData!$AV$108</f>
        <v>2007 Q3</v>
      </c>
      <c r="AZ2" s="1" t="str">
        <f>ReferenceData!$AW$108</f>
        <v>2007 Q2</v>
      </c>
      <c r="BA2" s="1" t="str">
        <f>ReferenceData!$AX$108</f>
        <v>2007 Q1</v>
      </c>
      <c r="BB2" s="1" t="str">
        <f>ReferenceData!$AY$108</f>
        <v>2006 Q4</v>
      </c>
      <c r="BC2" s="1" t="str">
        <f>ReferenceData!$AZ$108</f>
        <v>2006 Q3</v>
      </c>
      <c r="BD2" s="1" t="str">
        <f>ReferenceData!$BA$108</f>
        <v>2006 Q2</v>
      </c>
      <c r="BE2" s="1" t="str">
        <f>ReferenceData!$BB$108</f>
        <v>2006 Q1</v>
      </c>
      <c r="BF2" s="1" t="str">
        <f>ReferenceData!$BC$108</f>
        <v>2005 Q4</v>
      </c>
      <c r="BG2" s="1" t="str">
        <f>ReferenceData!$BD$108</f>
        <v>2005 Q3</v>
      </c>
      <c r="BH2" s="1" t="str">
        <f>ReferenceData!$BE$108</f>
        <v>2005 Q2</v>
      </c>
      <c r="BI2" s="1" t="str">
        <f>ReferenceData!$BF$108</f>
        <v>2005 Q1</v>
      </c>
      <c r="BJ2" s="1" t="str">
        <f>ReferenceData!$BG$108</f>
        <v>2004 Q4</v>
      </c>
      <c r="BK2" s="1" t="str">
        <f>ReferenceData!$BH$108</f>
        <v>2004 Q3</v>
      </c>
      <c r="BL2" s="1" t="str">
        <f>ReferenceData!$BI$108</f>
        <v>2004 Q2</v>
      </c>
      <c r="BM2" t="str">
        <f>$C$108</f>
        <v>2018 Q4</v>
      </c>
      <c r="BN2" t="str">
        <f>$D$108</f>
        <v>2018 Q3</v>
      </c>
      <c r="BO2" t="str">
        <f>$E$108</f>
        <v>2018 Q2</v>
      </c>
      <c r="BP2" t="str">
        <f>$F$108</f>
        <v>2018 Q1</v>
      </c>
      <c r="BQ2" t="str">
        <f>$G$108</f>
        <v>2017 Q4</v>
      </c>
      <c r="BR2" t="str">
        <f>$H$108</f>
        <v>2017 Q3</v>
      </c>
      <c r="BS2" t="str">
        <f>$I$108</f>
        <v>2017 Q2</v>
      </c>
      <c r="BT2" t="str">
        <f>$J$108</f>
        <v>2017 Q1</v>
      </c>
      <c r="BU2" t="str">
        <f>$K$108</f>
        <v>2016 Q4</v>
      </c>
      <c r="BV2" t="str">
        <f>$L$108</f>
        <v>2016 Q3</v>
      </c>
      <c r="BW2" t="str">
        <f>$M$108</f>
        <v>2016 Q2</v>
      </c>
      <c r="BX2" t="str">
        <f>$N$108</f>
        <v>2016 Q1</v>
      </c>
      <c r="BY2" t="str">
        <f>$O$108</f>
        <v>2015 Q4</v>
      </c>
      <c r="BZ2" t="str">
        <f>$P$108</f>
        <v>2015 Q3</v>
      </c>
      <c r="CA2" t="str">
        <f>$Q$108</f>
        <v>2015 Q2</v>
      </c>
      <c r="CB2" t="str">
        <f>$R$108</f>
        <v>2015 Q1</v>
      </c>
      <c r="CC2" t="str">
        <f>$S$108</f>
        <v>2014 Q4</v>
      </c>
      <c r="CD2" t="str">
        <f>$T$108</f>
        <v>2014 Q3</v>
      </c>
      <c r="CE2" t="str">
        <f>$U$108</f>
        <v>2014 Q2</v>
      </c>
      <c r="CF2" t="str">
        <f>$V$108</f>
        <v>2014 Q1</v>
      </c>
      <c r="CG2" t="str">
        <f>$W$108</f>
        <v>2013 Q4</v>
      </c>
      <c r="CH2" t="str">
        <f>$X$108</f>
        <v>2013 Q3</v>
      </c>
      <c r="CI2" t="str">
        <f>$Y$108</f>
        <v>2013 Q2</v>
      </c>
      <c r="CJ2" t="str">
        <f>$Z$108</f>
        <v>2013 Q1</v>
      </c>
      <c r="CK2" t="str">
        <f>$AA$108</f>
        <v>2012 Q4</v>
      </c>
      <c r="CL2" t="str">
        <f>$AB$108</f>
        <v>2012 Q3</v>
      </c>
      <c r="CM2" t="str">
        <f>$AC$108</f>
        <v>2012 Q2</v>
      </c>
      <c r="CN2" t="str">
        <f>$AD$108</f>
        <v>2012 Q1</v>
      </c>
      <c r="CO2" t="str">
        <f>$AE$108</f>
        <v>2011 Q4</v>
      </c>
      <c r="CP2" t="str">
        <f>$AF$108</f>
        <v>2011 Q3</v>
      </c>
      <c r="CQ2" t="str">
        <f>$AG$108</f>
        <v>2011 Q2</v>
      </c>
      <c r="CR2" t="str">
        <f>$AH$108</f>
        <v>2011 Q1</v>
      </c>
      <c r="CS2" t="str">
        <f>$AI$108</f>
        <v>2010 Q4</v>
      </c>
      <c r="CT2" t="str">
        <f>$AJ$108</f>
        <v>2010 Q3</v>
      </c>
      <c r="CU2" t="str">
        <f>$AK$108</f>
        <v>2010 Q2</v>
      </c>
      <c r="CV2" t="str">
        <f>$AL$108</f>
        <v>2010 Q1</v>
      </c>
      <c r="CW2" t="str">
        <f>$AM$108</f>
        <v>2009 Q4</v>
      </c>
      <c r="CX2" t="str">
        <f>$AN$108</f>
        <v>2009 Q3</v>
      </c>
      <c r="CY2" t="str">
        <f>$AO$108</f>
        <v>2009 Q2</v>
      </c>
      <c r="CZ2" t="str">
        <f>$AP$108</f>
        <v>2009 Q1</v>
      </c>
      <c r="DA2" t="str">
        <f>$AQ$108</f>
        <v>2008 Q4</v>
      </c>
      <c r="DB2" t="str">
        <f>$AR$108</f>
        <v>2008 Q3</v>
      </c>
      <c r="DC2" t="str">
        <f>$AS$108</f>
        <v>2008 Q2</v>
      </c>
      <c r="DD2" t="str">
        <f>$AT$108</f>
        <v>2008 Q1</v>
      </c>
      <c r="DE2" t="str">
        <f>$AU$108</f>
        <v>2007 Q4</v>
      </c>
      <c r="DF2" t="str">
        <f>$AV$108</f>
        <v>2007 Q3</v>
      </c>
      <c r="DG2" t="str">
        <f>$AW$108</f>
        <v>2007 Q2</v>
      </c>
      <c r="DH2" t="str">
        <f>$AX$108</f>
        <v>2007 Q1</v>
      </c>
      <c r="DI2" t="str">
        <f>$AY$108</f>
        <v>2006 Q4</v>
      </c>
      <c r="DJ2" t="str">
        <f>$AZ$108</f>
        <v>2006 Q3</v>
      </c>
      <c r="DK2" t="str">
        <f>$BA$108</f>
        <v>2006 Q2</v>
      </c>
      <c r="DL2" t="str">
        <f>$BB$108</f>
        <v>2006 Q1</v>
      </c>
      <c r="DM2" t="str">
        <f>$BC$108</f>
        <v>2005 Q4</v>
      </c>
      <c r="DN2" t="str">
        <f>$BD$108</f>
        <v>2005 Q3</v>
      </c>
      <c r="DO2" t="str">
        <f>$BE$108</f>
        <v>2005 Q2</v>
      </c>
      <c r="DP2" t="str">
        <f>$BF$108</f>
        <v>2005 Q1</v>
      </c>
      <c r="DQ2" t="str">
        <f>$BG$108</f>
        <v>2004 Q4</v>
      </c>
      <c r="DR2" t="str">
        <f>$BH$108</f>
        <v>2004 Q3</v>
      </c>
      <c r="DS2" t="str">
        <f>$BI$108</f>
        <v>2004 Q2</v>
      </c>
    </row>
    <row r="3" spans="1:123" x14ac:dyDescent="0.25">
      <c r="A3" t="str">
        <f>"By Geography ($M) - Toyota"</f>
        <v>By Geography ($M) - Toyota</v>
      </c>
      <c r="B3" t="str">
        <f>"7203 JP Equity"</f>
        <v>7203 JP Equity</v>
      </c>
      <c r="C3" t="str">
        <f>"IS010"</f>
        <v>IS010</v>
      </c>
      <c r="D3" t="str">
        <f>"SALES_REV_TURN"</f>
        <v>SALES_REV_TURN</v>
      </c>
      <c r="E3" t="str">
        <f t="shared" ref="E3:E16" si="0">"Dynamic"</f>
        <v>Dynamic</v>
      </c>
      <c r="F3">
        <f ca="1">IF(AND(ISNUMBER($F$55),$B$53=1),$F$55,HLOOKUP(INDIRECT(ADDRESS(2,COLUMN())),OFFSET($BM$2,0,0,ROW()-1,59),ROW()-1,FALSE))</f>
        <v>69206.032959999997</v>
      </c>
      <c r="G3">
        <f ca="1">IF(AND(ISNUMBER($G$55),$B$53=1),$G$55,HLOOKUP(INDIRECT(ADDRESS(2,COLUMN())),OFFSET($BM$2,0,0,ROW()-1,59),ROW()-1,FALSE))</f>
        <v>65578.042879999994</v>
      </c>
      <c r="H3">
        <f ca="1">IF(AND(ISNUMBER($H$55),$B$53=1),$H$55,HLOOKUP(INDIRECT(ADDRESS(2,COLUMN())),OFFSET($BM$2,0,0,ROW()-1,59),ROW()-1,FALSE))</f>
        <v>67484.94541</v>
      </c>
      <c r="I3">
        <f ca="1">IF(AND(ISNUMBER($I$55),$B$53=1),$I$55,HLOOKUP(INDIRECT(ADDRESS(2,COLUMN())),OFFSET($BM$2,0,0,ROW()-1,59),ROW()-1,FALSE))</f>
        <v>70002.283649999998</v>
      </c>
      <c r="J3">
        <f ca="1">IF(AND(ISNUMBER($J$55),$B$53=1),$J$55,HLOOKUP(INDIRECT(ADDRESS(2,COLUMN())),OFFSET($BM$2,0,0,ROW()-1,59),ROW()-1,FALSE))</f>
        <v>67379.559349999996</v>
      </c>
      <c r="K3">
        <f ca="1">IF(AND(ISNUMBER($K$55),$B$53=1),$K$55,HLOOKUP(INDIRECT(ADDRESS(2,COLUMN())),OFFSET($BM$2,0,0,ROW()-1,59),ROW()-1,FALSE))</f>
        <v>64382.575470000003</v>
      </c>
      <c r="L3">
        <f ca="1">IF(AND(ISNUMBER($L$55),$B$53=1),$L$55,HLOOKUP(INDIRECT(ADDRESS(2,COLUMN())),OFFSET($BM$2,0,0,ROW()-1,59),ROW()-1,FALSE))</f>
        <v>63426.009050000001</v>
      </c>
      <c r="M3">
        <f ca="1">IF(AND(ISNUMBER($M$55),$B$53=1),$M$55,HLOOKUP(INDIRECT(ADDRESS(2,COLUMN())),OFFSET($BM$2,0,0,ROW()-1,59),ROW()-1,FALSE))</f>
        <v>65528.904150000002</v>
      </c>
      <c r="N3">
        <f ca="1">IF(AND(ISNUMBER($N$55),$B$53=1),$N$55,HLOOKUP(INDIRECT(ADDRESS(2,COLUMN())),OFFSET($BM$2,0,0,ROW()-1,59),ROW()-1,FALSE))</f>
        <v>64811.642899999999</v>
      </c>
      <c r="O3">
        <f ca="1">IF(AND(ISNUMBER($O$55),$B$53=1),$O$55,HLOOKUP(INDIRECT(ADDRESS(2,COLUMN())),OFFSET($BM$2,0,0,ROW()-1,59),ROW()-1,FALSE))</f>
        <v>63334.29019</v>
      </c>
      <c r="P3">
        <f ca="1">IF(AND(ISNUMBER($P$55),$B$53=1),$P$55,HLOOKUP(INDIRECT(ADDRESS(2,COLUMN())),OFFSET($BM$2,0,0,ROW()-1,59),ROW()-1,FALSE))</f>
        <v>61072.139020000002</v>
      </c>
      <c r="Q3">
        <f ca="1">IF(AND(ISNUMBER($Q$55),$B$53=1),$Q$55,HLOOKUP(INDIRECT(ADDRESS(2,COLUMN())),OFFSET($BM$2,0,0,ROW()-1,59),ROW()-1,FALSE))</f>
        <v>60535.764860000003</v>
      </c>
      <c r="R3">
        <f ca="1">IF(AND(ISNUMBER($R$55),$B$53=1),$R$55,HLOOKUP(INDIRECT(ADDRESS(2,COLUMN())),OFFSET($BM$2,0,0,ROW()-1,59),ROW()-1,FALSE))</f>
        <v>60460.080220000003</v>
      </c>
      <c r="S3">
        <f ca="1">IF(AND(ISNUMBER($S$55),$B$53=1),$S$55,HLOOKUP(INDIRECT(ADDRESS(2,COLUMN())),OFFSET($BM$2,0,0,ROW()-1,59),ROW()-1,FALSE))</f>
        <v>58167.0386</v>
      </c>
      <c r="T3">
        <f ca="1">IF(AND(ISNUMBER($T$55),$B$53=1),$T$55,HLOOKUP(INDIRECT(ADDRESS(2,COLUMN())),OFFSET($BM$2,0,0,ROW()-1,59),ROW()-1,FALSE))</f>
        <v>57591.878040000003</v>
      </c>
      <c r="U3">
        <f ca="1">IF(AND(ISNUMBER($U$55),$B$53=1),$U$55,HLOOKUP(INDIRECT(ADDRESS(2,COLUMN())),OFFSET($BM$2,0,0,ROW()-1,59),ROW()-1,FALSE))</f>
        <v>59741.116249999999</v>
      </c>
      <c r="V3">
        <f ca="1">IF(AND(ISNUMBER($V$55),$B$53=1),$V$55,HLOOKUP(INDIRECT(ADDRESS(2,COLUMN())),OFFSET($BM$2,0,0,ROW()-1,59),ROW()-1,FALSE))</f>
        <v>62728.739249999999</v>
      </c>
      <c r="W3">
        <f ca="1">IF(AND(ISNUMBER($W$55),$B$53=1),$W$55,HLOOKUP(INDIRECT(ADDRESS(2,COLUMN())),OFFSET($BM$2,0,0,ROW()-1,59),ROW()-1,FALSE))</f>
        <v>63070.853649999997</v>
      </c>
      <c r="X3">
        <f ca="1">IF(AND(ISNUMBER($X$55),$B$53=1),$X$55,HLOOKUP(INDIRECT(ADDRESS(2,COLUMN())),OFFSET($BM$2,0,0,ROW()-1,59),ROW()-1,FALSE))</f>
        <v>62586.537170000003</v>
      </c>
      <c r="Y3">
        <f ca="1">IF(AND(ISNUMBER($Y$55),$B$53=1),$Y$55,HLOOKUP(INDIRECT(ADDRESS(2,COLUMN())),OFFSET($BM$2,0,0,ROW()-1,59),ROW()-1,FALSE))</f>
        <v>63909.131789999999</v>
      </c>
      <c r="Z3">
        <f ca="1">IF(AND(ISNUMBER($Z$55),$B$53=1),$Z$55,HLOOKUP(INDIRECT(ADDRESS(2,COLUMN())),OFFSET($BM$2,0,0,ROW()-1,59),ROW()-1,FALSE))</f>
        <v>65599.145499999999</v>
      </c>
      <c r="AA3">
        <f ca="1">IF(AND(ISNUMBER($AA$55),$B$53=1),$AA$55,HLOOKUP(INDIRECT(ADDRESS(2,COLUMN())),OFFSET($BM$2,0,0,ROW()-1,59),ROW()-1,FALSE))</f>
        <v>63507.1106</v>
      </c>
      <c r="AB3">
        <f ca="1">IF(AND(ISNUMBER($AB$55),$B$53=1),$AB$55,HLOOKUP(INDIRECT(ADDRESS(2,COLUMN())),OFFSET($BM$2,0,0,ROW()-1,59),ROW()-1,FALSE))</f>
        <v>63407.090080000002</v>
      </c>
      <c r="AC3">
        <f ca="1">IF(AND(ISNUMBER($AC$55),$B$53=1),$AC$55,HLOOKUP(INDIRECT(ADDRESS(2,COLUMN())),OFFSET($BM$2,0,0,ROW()-1,59),ROW()-1,FALSE))</f>
        <v>63369.570399999997</v>
      </c>
      <c r="AD3">
        <f ca="1">IF(AND(ISNUMBER($AD$55),$B$53=1),$AD$55,HLOOKUP(INDIRECT(ADDRESS(2,COLUMN())),OFFSET($BM$2,0,0,ROW()-1,59),ROW()-1,FALSE))</f>
        <v>65540.952510000003</v>
      </c>
      <c r="AE3">
        <f ca="1">IF(AND(ISNUMBER($AE$55),$B$53=1),$AE$55,HLOOKUP(INDIRECT(ADDRESS(2,COLUMN())),OFFSET($BM$2,0,0,ROW()-1,59),ROW()-1,FALSE))</f>
        <v>68761.826579999994</v>
      </c>
      <c r="AF3">
        <f ca="1">IF(AND(ISNUMBER($AF$55),$B$53=1),$AF$55,HLOOKUP(INDIRECT(ADDRESS(2,COLUMN())),OFFSET($BM$2,0,0,ROW()-1,59),ROW()-1,FALSE))</f>
        <v>68714.408060000002</v>
      </c>
      <c r="AG3">
        <f ca="1">IF(AND(ISNUMBER($AG$55),$B$53=1),$AG$55,HLOOKUP(INDIRECT(ADDRESS(2,COLUMN())),OFFSET($BM$2,0,0,ROW()-1,59),ROW()-1,FALSE))</f>
        <v>71955.779790000001</v>
      </c>
      <c r="AH3">
        <f ca="1">IF(AND(ISNUMBER($AH$55),$B$53=1),$AH$55,HLOOKUP(INDIRECT(ADDRESS(2,COLUMN())),OFFSET($BM$2,0,0,ROW()-1,59),ROW()-1,FALSE))</f>
        <v>62905.258240000003</v>
      </c>
      <c r="AI3">
        <f ca="1">IF(AND(ISNUMBER($AI$55),$B$53=1),$AI$55,HLOOKUP(INDIRECT(ADDRESS(2,COLUMN())),OFFSET($BM$2,0,0,ROW()-1,59),ROW()-1,FALSE))</f>
        <v>58914.860280000001</v>
      </c>
      <c r="AJ3">
        <f ca="1">IF(AND(ISNUMBER($AJ$55),$B$53=1),$AJ$55,HLOOKUP(INDIRECT(ADDRESS(2,COLUMN())),OFFSET($BM$2,0,0,ROW()-1,59),ROW()-1,FALSE))</f>
        <v>42208.997080000001</v>
      </c>
      <c r="AK3">
        <f ca="1">IF(AND(ISNUMBER($AK$55),$B$53=1),$AK$55,HLOOKUP(INDIRECT(ADDRESS(2,COLUMN())),OFFSET($BM$2,0,0,ROW()-1,59),ROW()-1,FALSE))</f>
        <v>56454.033020000003</v>
      </c>
      <c r="AL3">
        <f ca="1">IF(AND(ISNUMBER($AL$55),$B$53=1),$AL$55,HLOOKUP(INDIRECT(ADDRESS(2,COLUMN())),OFFSET($BM$2,0,0,ROW()-1,59),ROW()-1,FALSE))</f>
        <v>56620.79176</v>
      </c>
      <c r="AM3">
        <f ca="1">IF(AND(ISNUMBER($AM$55),$B$53=1),$AM$55,HLOOKUP(INDIRECT(ADDRESS(2,COLUMN())),OFFSET($BM$2,0,0,ROW()-1,59),ROW()-1,FALSE))</f>
        <v>56066.523710000001</v>
      </c>
      <c r="AN3">
        <f ca="1">IF(AND(ISNUMBER($AN$55),$B$53=1),$AN$55,HLOOKUP(INDIRECT(ADDRESS(2,COLUMN())),OFFSET($BM$2,0,0,ROW()-1,59),ROW()-1,FALSE))</f>
        <v>52929.040609999996</v>
      </c>
      <c r="AO3">
        <f ca="1">IF(AND(ISNUMBER($AO$55),$B$53=1),$AO$55,HLOOKUP(INDIRECT(ADDRESS(2,COLUMN())),OFFSET($BM$2,0,0,ROW()-1,59),ROW()-1,FALSE))</f>
        <v>58239.385759999997</v>
      </c>
      <c r="AP3">
        <f ca="1">IF(AND(ISNUMBER($AP$55),$B$53=1),$AP$55,HLOOKUP(INDIRECT(ADDRESS(2,COLUMN())),OFFSET($BM$2,0,0,ROW()-1,59),ROW()-1,FALSE))</f>
        <v>58925.714379999998</v>
      </c>
      <c r="AQ3">
        <f ca="1">IF(AND(ISNUMBER($AQ$55),$B$53=1),$AQ$55,HLOOKUP(INDIRECT(ADDRESS(2,COLUMN())),OFFSET($BM$2,0,0,ROW()-1,59),ROW()-1,FALSE))</f>
        <v>48567.790650000003</v>
      </c>
      <c r="AR3">
        <f ca="1">IF(AND(ISNUMBER($AR$55),$B$53=1),$AR$55,HLOOKUP(INDIRECT(ADDRESS(2,COLUMN())),OFFSET($BM$2,0,0,ROW()-1,59),ROW()-1,FALSE))</f>
        <v>39419.54997</v>
      </c>
      <c r="AS3">
        <f ca="1">IF(AND(ISNUMBER($AS$55),$B$53=1),$AS$55,HLOOKUP(INDIRECT(ADDRESS(2,COLUMN())),OFFSET($BM$2,0,0,ROW()-1,59),ROW()-1,FALSE))</f>
        <v>37804.936289999998</v>
      </c>
      <c r="AT3">
        <f ca="1">IF(AND(ISNUMBER($AT$55),$B$53=1),$AT$55,HLOOKUP(INDIRECT(ADDRESS(2,COLUMN())),OFFSET($BM$2,0,0,ROW()-1,59),ROW()-1,FALSE))</f>
        <v>50110.363469999997</v>
      </c>
      <c r="AU3">
        <f ca="1">IF(AND(ISNUMBER($AU$55),$B$53=1),$AU$55,HLOOKUP(INDIRECT(ADDRESS(2,COLUMN())),OFFSET($BM$2,0,0,ROW()-1,59),ROW()-1,FALSE))</f>
        <v>55547.576650000003</v>
      </c>
      <c r="AV3">
        <f ca="1">IF(AND(ISNUMBER($AV$55),$B$53=1),$AV$55,HLOOKUP(INDIRECT(ADDRESS(2,COLUMN())),OFFSET($BM$2,0,0,ROW()-1,59),ROW()-1,FALSE))</f>
        <v>59427.16633</v>
      </c>
      <c r="AW3">
        <f ca="1">IF(AND(ISNUMBER($AW$55),$B$53=1),$AW$55,HLOOKUP(INDIRECT(ADDRESS(2,COLUMN())),OFFSET($BM$2,0,0,ROW()-1,59),ROW()-1,FALSE))</f>
        <v>62421.022360000003</v>
      </c>
      <c r="AX3">
        <f ca="1">IF(AND(ISNUMBER($AX$55),$B$53=1),$AX$55,HLOOKUP(INDIRECT(ADDRESS(2,COLUMN())),OFFSET($BM$2,0,0,ROW()-1,59),ROW()-1,FALSE))</f>
        <v>59319.179239999998</v>
      </c>
      <c r="AY3">
        <f ca="1">IF(AND(ISNUMBER($AY$55),$B$53=1),$AY$55,HLOOKUP(INDIRECT(ADDRESS(2,COLUMN())),OFFSET($BM$2,0,0,ROW()-1,59),ROW()-1,FALSE))</f>
        <v>55127.491370000003</v>
      </c>
      <c r="AZ3">
        <f ca="1">IF(AND(ISNUMBER($AZ$55),$B$53=1),$AZ$55,HLOOKUP(INDIRECT(ADDRESS(2,COLUMN())),OFFSET($BM$2,0,0,ROW()-1,59),ROW()-1,FALSE))</f>
        <v>54001.23962</v>
      </c>
      <c r="BA3">
        <f ca="1">IF(AND(ISNUMBER($BA$55),$B$53=1),$BA$55,HLOOKUP(INDIRECT(ADDRESS(2,COLUMN())),OFFSET($BM$2,0,0,ROW()-1,59),ROW()-1,FALSE))</f>
        <v>53034.912450000003</v>
      </c>
      <c r="BB3">
        <f ca="1">IF(AND(ISNUMBER($BB$55),$B$53=1),$BB$55,HLOOKUP(INDIRECT(ADDRESS(2,COLUMN())),OFFSET($BM$2,0,0,ROW()-1,59),ROW()-1,FALSE))</f>
        <v>52195.286059999999</v>
      </c>
      <c r="BC3">
        <f ca="1">IF(AND(ISNUMBER($BC$55),$B$53=1),$BC$55,HLOOKUP(INDIRECT(ADDRESS(2,COLUMN())),OFFSET($BM$2,0,0,ROW()-1,59),ROW()-1,FALSE))</f>
        <v>50176.866000000002</v>
      </c>
      <c r="BD3">
        <f ca="1">IF(AND(ISNUMBER($BD$55),$B$53=1),$BD$55,HLOOKUP(INDIRECT(ADDRESS(2,COLUMN())),OFFSET($BM$2,0,0,ROW()-1,59),ROW()-1,FALSE))</f>
        <v>49322.738089999999</v>
      </c>
      <c r="BE3">
        <f ca="1">IF(AND(ISNUMBER($BE$55),$B$53=1),$BE$55,HLOOKUP(INDIRECT(ADDRESS(2,COLUMN())),OFFSET($BM$2,0,0,ROW()-1,59),ROW()-1,FALSE))</f>
        <v>49199.278209999997</v>
      </c>
      <c r="BF3">
        <f ca="1">IF(AND(ISNUMBER($BF$55),$B$53=1),$BF$55,HLOOKUP(INDIRECT(ADDRESS(2,COLUMN())),OFFSET($BM$2,0,0,ROW()-1,59),ROW()-1,FALSE))</f>
        <v>45491.231090000001</v>
      </c>
      <c r="BG3">
        <f ca="1">IF(AND(ISNUMBER($BG$55),$B$53=1),$BG$55,HLOOKUP(INDIRECT(ADDRESS(2,COLUMN())),OFFSET($BM$2,0,0,ROW()-1,59),ROW()-1,FALSE))</f>
        <v>44699.426039999998</v>
      </c>
      <c r="BH3">
        <f ca="1">IF(AND(ISNUMBER($BH$55),$B$53=1),$BH$55,HLOOKUP(INDIRECT(ADDRESS(2,COLUMN())),OFFSET($BM$2,0,0,ROW()-1,59),ROW()-1,FALSE))</f>
        <v>46327.896529999998</v>
      </c>
      <c r="BI3">
        <f ca="1">IF(AND(ISNUMBER($BI$55),$B$53=1),$BI$55,HLOOKUP(INDIRECT(ADDRESS(2,COLUMN())),OFFSET($BM$2,0,0,ROW()-1,59),ROW()-1,FALSE))</f>
        <v>46710.248809999997</v>
      </c>
      <c r="BJ3">
        <f ca="1">IF(AND(ISNUMBER($BJ$55),$B$53=1),$BJ$55,HLOOKUP(INDIRECT(ADDRESS(2,COLUMN())),OFFSET($BM$2,0,0,ROW()-1,59),ROW()-1,FALSE))</f>
        <v>43961.840250000001</v>
      </c>
      <c r="BK3">
        <f ca="1">IF(AND(ISNUMBER($BK$55),$B$53=1),$BK$55,HLOOKUP(INDIRECT(ADDRESS(2,COLUMN())),OFFSET($BM$2,0,0,ROW()-1,59),ROW()-1,FALSE))</f>
        <v>41080.550179999998</v>
      </c>
      <c r="BL3">
        <f ca="1">IF(AND(ISNUMBER($BL$55),$B$53=1),$BL$55,HLOOKUP(INDIRECT(ADDRESS(2,COLUMN())),OFFSET($BM$2,0,0,ROW()-1,59),ROW()-1,FALSE))</f>
        <v>41135.592660000002</v>
      </c>
      <c r="BM3">
        <f>69206.03296</f>
        <v>69206.032959999997</v>
      </c>
      <c r="BN3">
        <f>65578.04288</f>
        <v>65578.042879999994</v>
      </c>
      <c r="BO3">
        <f>67484.94541</f>
        <v>67484.94541</v>
      </c>
      <c r="BP3">
        <f>70002.28365</f>
        <v>70002.283649999998</v>
      </c>
      <c r="BQ3">
        <f>67379.55935</f>
        <v>67379.559349999996</v>
      </c>
      <c r="BR3">
        <f>64382.57547</f>
        <v>64382.575470000003</v>
      </c>
      <c r="BS3">
        <f>63426.00905</f>
        <v>63426.009050000001</v>
      </c>
      <c r="BT3">
        <f>65528.90415</f>
        <v>65528.904150000002</v>
      </c>
      <c r="BU3">
        <f>64811.6429</f>
        <v>64811.642899999999</v>
      </c>
      <c r="BV3">
        <f>63334.29019</f>
        <v>63334.29019</v>
      </c>
      <c r="BW3">
        <f>61072.13902</f>
        <v>61072.139020000002</v>
      </c>
      <c r="BX3">
        <f>60535.76486</f>
        <v>60535.764860000003</v>
      </c>
      <c r="BY3">
        <f>60460.08022</f>
        <v>60460.080220000003</v>
      </c>
      <c r="BZ3">
        <f>58167.0386</f>
        <v>58167.0386</v>
      </c>
      <c r="CA3">
        <f>57591.87804</f>
        <v>57591.878040000003</v>
      </c>
      <c r="CB3">
        <f>59741.11625</f>
        <v>59741.116249999999</v>
      </c>
      <c r="CC3">
        <f>62728.73925</f>
        <v>62728.739249999999</v>
      </c>
      <c r="CD3">
        <f>63070.85365</f>
        <v>63070.853649999997</v>
      </c>
      <c r="CE3">
        <f>62586.53717</f>
        <v>62586.537170000003</v>
      </c>
      <c r="CF3">
        <f>63909.13179</f>
        <v>63909.131789999999</v>
      </c>
      <c r="CG3">
        <f>65599.1455</f>
        <v>65599.145499999999</v>
      </c>
      <c r="CH3">
        <f>63507.1106</f>
        <v>63507.1106</v>
      </c>
      <c r="CI3">
        <f>63407.09008</f>
        <v>63407.090080000002</v>
      </c>
      <c r="CJ3">
        <f>63369.5704</f>
        <v>63369.570399999997</v>
      </c>
      <c r="CK3">
        <f>65540.95251</f>
        <v>65540.952510000003</v>
      </c>
      <c r="CL3">
        <f>68761.82658</f>
        <v>68761.826579999994</v>
      </c>
      <c r="CM3">
        <f>68714.40806</f>
        <v>68714.408060000002</v>
      </c>
      <c r="CN3">
        <f>71955.77979</f>
        <v>71955.779790000001</v>
      </c>
      <c r="CO3">
        <f>62905.25824</f>
        <v>62905.258240000003</v>
      </c>
      <c r="CP3">
        <f>58914.86028</f>
        <v>58914.860280000001</v>
      </c>
      <c r="CQ3">
        <f>42208.99708</f>
        <v>42208.997080000001</v>
      </c>
      <c r="CR3">
        <f>56454.03302</f>
        <v>56454.033020000003</v>
      </c>
      <c r="CS3">
        <f>56620.79176</f>
        <v>56620.79176</v>
      </c>
      <c r="CT3">
        <f>56066.52371</f>
        <v>56066.523710000001</v>
      </c>
      <c r="CU3">
        <f>52929.04061</f>
        <v>52929.040609999996</v>
      </c>
      <c r="CV3">
        <f>58239.38576</f>
        <v>58239.385759999997</v>
      </c>
      <c r="CW3">
        <f>58925.71438</f>
        <v>58925.714379999998</v>
      </c>
      <c r="CX3">
        <f>48567.79065</f>
        <v>48567.790650000003</v>
      </c>
      <c r="CY3">
        <f>39419.54997</f>
        <v>39419.54997</v>
      </c>
      <c r="CZ3">
        <f>37804.93629</f>
        <v>37804.936289999998</v>
      </c>
      <c r="DA3">
        <f>50110.36347</f>
        <v>50110.363469999997</v>
      </c>
      <c r="DB3">
        <f>55547.57665</f>
        <v>55547.576650000003</v>
      </c>
      <c r="DC3">
        <f>59427.16633</f>
        <v>59427.16633</v>
      </c>
      <c r="DD3">
        <f>62421.02236</f>
        <v>62421.022360000003</v>
      </c>
      <c r="DE3">
        <f>59319.17924</f>
        <v>59319.179239999998</v>
      </c>
      <c r="DF3">
        <f>55127.49137</f>
        <v>55127.491370000003</v>
      </c>
      <c r="DG3">
        <f>54001.23962</f>
        <v>54001.23962</v>
      </c>
      <c r="DH3">
        <f>53034.91245</f>
        <v>53034.912450000003</v>
      </c>
      <c r="DI3">
        <f>52195.28606</f>
        <v>52195.286059999999</v>
      </c>
      <c r="DJ3">
        <f>50176.866</f>
        <v>50176.866000000002</v>
      </c>
      <c r="DK3">
        <f>49322.73809</f>
        <v>49322.738089999999</v>
      </c>
      <c r="DL3">
        <f>49199.27821</f>
        <v>49199.278209999997</v>
      </c>
      <c r="DM3">
        <f>45491.23109</f>
        <v>45491.231090000001</v>
      </c>
      <c r="DN3">
        <f>44699.42604</f>
        <v>44699.426039999998</v>
      </c>
      <c r="DO3">
        <f>46327.89653</f>
        <v>46327.896529999998</v>
      </c>
      <c r="DP3">
        <f>46710.24881</f>
        <v>46710.248809999997</v>
      </c>
      <c r="DQ3">
        <f>43961.84025</f>
        <v>43961.840250000001</v>
      </c>
      <c r="DR3">
        <f>41080.55018</f>
        <v>41080.550179999998</v>
      </c>
      <c r="DS3">
        <f>41135.59266</f>
        <v>41135.592660000002</v>
      </c>
    </row>
    <row r="4" spans="1:123" x14ac:dyDescent="0.25">
      <c r="A4" t="str">
        <f>"        North America"</f>
        <v xml:space="preserve">        North America</v>
      </c>
      <c r="B4" t="str">
        <f>"7203 JP Equity"</f>
        <v>7203 JP Equity</v>
      </c>
      <c r="C4" t="str">
        <f>"BI047"</f>
        <v>BI047</v>
      </c>
      <c r="D4" t="str">
        <f>"BICS_SEGMENT_DATA"</f>
        <v>BICS_SEGMENT_DATA</v>
      </c>
      <c r="E4" t="str">
        <f t="shared" si="0"/>
        <v>Dynamic</v>
      </c>
      <c r="F4">
        <f ca="1">IF(AND(ISNUMBER($F$56),$B$53=1),$F$56,HLOOKUP(INDIRECT(ADDRESS(2,COLUMN())),OFFSET($BM$2,0,0,ROW()-1,59),ROW()-1,FALSE))</f>
        <v>23606.337729999999</v>
      </c>
      <c r="G4">
        <f ca="1">IF(AND(ISNUMBER($G$56),$B$53=1),$G$56,HLOOKUP(INDIRECT(ADDRESS(2,COLUMN())),OFFSET($BM$2,0,0,ROW()-1,59),ROW()-1,FALSE))</f>
        <v>23341.736359999999</v>
      </c>
      <c r="H4">
        <f ca="1">IF(AND(ISNUMBER($H$56),$B$53=1),$H$56,HLOOKUP(INDIRECT(ADDRESS(2,COLUMN())),OFFSET($BM$2,0,0,ROW()-1,59),ROW()-1,FALSE))</f>
        <v>25255.142530000001</v>
      </c>
      <c r="I4">
        <f ca="1">IF(AND(ISNUMBER($I$56),$B$53=1),$I$56,HLOOKUP(INDIRECT(ADDRESS(2,COLUMN())),OFFSET($BM$2,0,0,ROW()-1,59),ROW()-1,FALSE))</f>
        <v>22728.047979999999</v>
      </c>
      <c r="J4">
        <f ca="1">IF(AND(ISNUMBER($J$56),$B$53=1),$J$56,HLOOKUP(INDIRECT(ADDRESS(2,COLUMN())),OFFSET($BM$2,0,0,ROW()-1,59),ROW()-1,FALSE))</f>
        <v>24422.560679999999</v>
      </c>
      <c r="K4">
        <f ca="1">IF(AND(ISNUMBER($K$56),$B$53=1),$K$56,HLOOKUP(INDIRECT(ADDRESS(2,COLUMN())),OFFSET($BM$2,0,0,ROW()-1,59),ROW()-1,FALSE))</f>
        <v>22732.076809999999</v>
      </c>
      <c r="L4">
        <f ca="1">IF(AND(ISNUMBER($L$56),$B$53=1),$L$56,HLOOKUP(INDIRECT(ADDRESS(2,COLUMN())),OFFSET($BM$2,0,0,ROW()-1,59),ROW()-1,FALSE))</f>
        <v>23456.20981</v>
      </c>
      <c r="M4">
        <f ca="1">IF(AND(ISNUMBER($M$56),$B$53=1),$M$56,HLOOKUP(INDIRECT(ADDRESS(2,COLUMN())),OFFSET($BM$2,0,0,ROW()-1,59),ROW()-1,FALSE))</f>
        <v>22913.680919999999</v>
      </c>
      <c r="N4">
        <f ca="1">IF(AND(ISNUMBER($N$56),$B$53=1),$N$56,HLOOKUP(INDIRECT(ADDRESS(2,COLUMN())),OFFSET($BM$2,0,0,ROW()-1,59),ROW()-1,FALSE))</f>
        <v>24396.07228</v>
      </c>
      <c r="O4">
        <f ca="1">IF(AND(ISNUMBER($O$56),$B$53=1),$O$56,HLOOKUP(INDIRECT(ADDRESS(2,COLUMN())),OFFSET($BM$2,0,0,ROW()-1,59),ROW()-1,FALSE))</f>
        <v>22480.721000000001</v>
      </c>
      <c r="P4">
        <f ca="1">IF(AND(ISNUMBER($P$56),$B$53=1),$P$56,HLOOKUP(INDIRECT(ADDRESS(2,COLUMN())),OFFSET($BM$2,0,0,ROW()-1,59),ROW()-1,FALSE))</f>
        <v>23030.762309999998</v>
      </c>
      <c r="Q4">
        <f ca="1">IF(AND(ISNUMBER($Q$56),$B$53=1),$Q$56,HLOOKUP(INDIRECT(ADDRESS(2,COLUMN())),OFFSET($BM$2,0,0,ROW()-1,59),ROW()-1,FALSE))</f>
        <v>22376.440719999999</v>
      </c>
      <c r="R4">
        <f ca="1">IF(AND(ISNUMBER($R$56),$B$53=1),$R$56,HLOOKUP(INDIRECT(ADDRESS(2,COLUMN())),OFFSET($BM$2,0,0,ROW()-1,59),ROW()-1,FALSE))</f>
        <v>23093.000049999999</v>
      </c>
      <c r="S4">
        <f ca="1">IF(AND(ISNUMBER($S$56),$B$53=1),$S$56,HLOOKUP(INDIRECT(ADDRESS(2,COLUMN())),OFFSET($BM$2,0,0,ROW()-1,59),ROW()-1,FALSE))</f>
        <v>21398.78772</v>
      </c>
      <c r="T4">
        <f ca="1">IF(AND(ISNUMBER($T$56),$B$53=1),$T$56,HLOOKUP(INDIRECT(ADDRESS(2,COLUMN())),OFFSET($BM$2,0,0,ROW()-1,59),ROW()-1,FALSE))</f>
        <v>22923.282579999999</v>
      </c>
      <c r="U4">
        <f ca="1">IF(AND(ISNUMBER($U$56),$B$53=1),$U$56,HLOOKUP(INDIRECT(ADDRESS(2,COLUMN())),OFFSET($BM$2,0,0,ROW()-1,59),ROW()-1,FALSE))</f>
        <v>20731.445179999999</v>
      </c>
      <c r="V4">
        <f ca="1">IF(AND(ISNUMBER($V$56),$B$53=1),$V$56,HLOOKUP(INDIRECT(ADDRESS(2,COLUMN())),OFFSET($BM$2,0,0,ROW()-1,59),ROW()-1,FALSE))</f>
        <v>22539.362430000001</v>
      </c>
      <c r="W4">
        <f ca="1">IF(AND(ISNUMBER($W$56),$B$53=1),$W$56,HLOOKUP(INDIRECT(ADDRESS(2,COLUMN())),OFFSET($BM$2,0,0,ROW()-1,59),ROW()-1,FALSE))</f>
        <v>20924.51525</v>
      </c>
      <c r="X4">
        <f ca="1">IF(AND(ISNUMBER($X$56),$B$53=1),$X$56,HLOOKUP(INDIRECT(ADDRESS(2,COLUMN())),OFFSET($BM$2,0,0,ROW()-1,59),ROW()-1,FALSE))</f>
        <v>21388.081150000002</v>
      </c>
      <c r="Y4">
        <f ca="1">IF(AND(ISNUMBER($Y$56),$B$53=1),$Y$56,HLOOKUP(INDIRECT(ADDRESS(2,COLUMN())),OFFSET($BM$2,0,0,ROW()-1,59),ROW()-1,FALSE))</f>
        <v>18169.596699999998</v>
      </c>
      <c r="Z4">
        <f ca="1">IF(AND(ISNUMBER($Z$56),$B$53=1),$Z$56,HLOOKUP(INDIRECT(ADDRESS(2,COLUMN())),OFFSET($BM$2,0,0,ROW()-1,59),ROW()-1,FALSE))</f>
        <v>20819.43576</v>
      </c>
      <c r="AA4">
        <f ca="1">IF(AND(ISNUMBER($AA$56),$B$53=1),$AA$56,HLOOKUP(INDIRECT(ADDRESS(2,COLUMN())),OFFSET($BM$2,0,0,ROW()-1,59),ROW()-1,FALSE))</f>
        <v>19279.73172</v>
      </c>
      <c r="AB4">
        <f ca="1">IF(AND(ISNUMBER($AB$56),$B$53=1),$AB$56,HLOOKUP(INDIRECT(ADDRESS(2,COLUMN())),OFFSET($BM$2,0,0,ROW()-1,59),ROW()-1,FALSE))</f>
        <v>20831.030429999999</v>
      </c>
      <c r="AC4">
        <f ca="1">IF(AND(ISNUMBER($AC$56),$B$53=1),$AC$56,HLOOKUP(INDIRECT(ADDRESS(2,COLUMN())),OFFSET($BM$2,0,0,ROW()-1,59),ROW()-1,FALSE))</f>
        <v>24512.360939999999</v>
      </c>
      <c r="AD4">
        <f ca="1">IF(AND(ISNUMBER($AD$56),$B$53=1),$AD$56,HLOOKUP(INDIRECT(ADDRESS(2,COLUMN())),OFFSET($BM$2,0,0,ROW()-1,59),ROW()-1,FALSE))</f>
        <v>18599.452499999999</v>
      </c>
      <c r="AE4">
        <f ca="1">IF(AND(ISNUMBER($AE$56),$B$53=1),$AE$56,HLOOKUP(INDIRECT(ADDRESS(2,COLUMN())),OFFSET($BM$2,0,0,ROW()-1,59),ROW()-1,FALSE))</f>
        <v>18328.82764</v>
      </c>
      <c r="AF4">
        <f ca="1">IF(AND(ISNUMBER($AF$56),$B$53=1),$AF$56,HLOOKUP(INDIRECT(ADDRESS(2,COLUMN())),OFFSET($BM$2,0,0,ROW()-1,59),ROW()-1,FALSE))</f>
        <v>19759.03642</v>
      </c>
      <c r="AG4">
        <f ca="1">IF(AND(ISNUMBER($AG$56),$B$53=1),$AG$56,HLOOKUP(INDIRECT(ADDRESS(2,COLUMN())),OFFSET($BM$2,0,0,ROW()-1,59),ROW()-1,FALSE))</f>
        <v>17960.509770000001</v>
      </c>
      <c r="AH4">
        <f ca="1">IF(AND(ISNUMBER($AH$56),$B$53=1),$AH$56,HLOOKUP(INDIRECT(ADDRESS(2,COLUMN())),OFFSET($BM$2,0,0,ROW()-1,59),ROW()-1,FALSE))</f>
        <v>17705.03471</v>
      </c>
      <c r="AI4">
        <f ca="1">IF(AND(ISNUMBER($AI$56),$B$53=1),$AI$56,HLOOKUP(INDIRECT(ADDRESS(2,COLUMN())),OFFSET($BM$2,0,0,ROW()-1,59),ROW()-1,FALSE))</f>
        <v>13962.71031</v>
      </c>
      <c r="AJ4">
        <f ca="1">IF(AND(ISNUMBER($AJ$56),$B$53=1),$AJ$56,HLOOKUP(INDIRECT(ADDRESS(2,COLUMN())),OFFSET($BM$2,0,0,ROW()-1,59),ROW()-1,FALSE))</f>
        <v>10289.6091</v>
      </c>
      <c r="AK4">
        <f ca="1">IF(AND(ISNUMBER($AK$56),$B$53=1),$AK$56,HLOOKUP(INDIRECT(ADDRESS(2,COLUMN())),OFFSET($BM$2,0,0,ROW()-1,59),ROW()-1,FALSE))</f>
        <v>15366.727070000001</v>
      </c>
      <c r="AL4">
        <f ca="1">IF(AND(ISNUMBER($AL$56),$B$53=1),$AL$56,HLOOKUP(INDIRECT(ADDRESS(2,COLUMN())),OFFSET($BM$2,0,0,ROW()-1,59),ROW()-1,FALSE))</f>
        <v>16032.98963</v>
      </c>
      <c r="AM4">
        <f ca="1">IF(AND(ISNUMBER($AM$56),$B$53=1),$AM$56,HLOOKUP(INDIRECT(ADDRESS(2,COLUMN())),OFFSET($BM$2,0,0,ROW()-1,59),ROW()-1,FALSE))</f>
        <v>15562.67007</v>
      </c>
      <c r="AN4">
        <f ca="1">IF(AND(ISNUMBER($AN$56),$B$53=1),$AN$56,HLOOKUP(INDIRECT(ADDRESS(2,COLUMN())),OFFSET($BM$2,0,0,ROW()-1,59),ROW()-1,FALSE))</f>
        <v>16049.17871</v>
      </c>
      <c r="AO4">
        <f ca="1">IF(AND(ISNUMBER($AO$56),$B$53=1),$AO$56,HLOOKUP(INDIRECT(ADDRESS(2,COLUMN())),OFFSET($BM$2,0,0,ROW()-1,59),ROW()-1,FALSE))</f>
        <v>16181.83259</v>
      </c>
      <c r="AP4">
        <f ca="1">IF(AND(ISNUMBER($AP$56),$B$53=1),$AP$56,HLOOKUP(INDIRECT(ADDRESS(2,COLUMN())),OFFSET($BM$2,0,0,ROW()-1,59),ROW()-1,FALSE))</f>
        <v>18241.812000000002</v>
      </c>
      <c r="AQ4">
        <f ca="1">IF(AND(ISNUMBER($AQ$56),$B$53=1),$AQ$56,HLOOKUP(INDIRECT(ADDRESS(2,COLUMN())),OFFSET($BM$2,0,0,ROW()-1,59),ROW()-1,FALSE))</f>
        <v>15354.000239999999</v>
      </c>
      <c r="AR4">
        <f ca="1">IF(AND(ISNUMBER($AR$56),$B$53=1),$AR$56,HLOOKUP(INDIRECT(ADDRESS(2,COLUMN())),OFFSET($BM$2,0,0,ROW()-1,59),ROW()-1,FALSE))</f>
        <v>12094.067719999999</v>
      </c>
      <c r="AS4">
        <f ca="1">IF(AND(ISNUMBER($AS$56),$B$53=1),$AS$56,HLOOKUP(INDIRECT(ADDRESS(2,COLUMN())),OFFSET($BM$2,0,0,ROW()-1,59),ROW()-1,FALSE))</f>
        <v>9930.706897</v>
      </c>
      <c r="AT4">
        <f ca="1">IF(AND(ISNUMBER($AT$56),$B$53=1),$AT$56,HLOOKUP(INDIRECT(ADDRESS(2,COLUMN())),OFFSET($BM$2,0,0,ROW()-1,59),ROW()-1,FALSE))</f>
        <v>14072.41617</v>
      </c>
      <c r="AU4">
        <f ca="1">IF(AND(ISNUMBER($AU$56),$B$53=1),$AU$56,HLOOKUP(INDIRECT(ADDRESS(2,COLUMN())),OFFSET($BM$2,0,0,ROW()-1,59),ROW()-1,FALSE))</f>
        <v>17673.672429999999</v>
      </c>
      <c r="AV4">
        <f ca="1">IF(AND(ISNUMBER($AV$56),$B$53=1),$AV$56,HLOOKUP(INDIRECT(ADDRESS(2,COLUMN())),OFFSET($BM$2,0,0,ROW()-1,59),ROW()-1,FALSE))</f>
        <v>20226.423350000001</v>
      </c>
      <c r="AW4" t="str">
        <f ca="1">IF(AND(ISNUMBER($AW$56),$B$53=1),$AW$56,HLOOKUP(INDIRECT(ADDRESS(2,COLUMN())),OFFSET($BM$2,0,0,ROW()-1,59),ROW()-1,FALSE))</f>
        <v/>
      </c>
      <c r="AX4" t="str">
        <f ca="1">IF(AND(ISNUMBER($AX$56),$B$53=1),$AX$56,HLOOKUP(INDIRECT(ADDRESS(2,COLUMN())),OFFSET($BM$2,0,0,ROW()-1,59),ROW()-1,FALSE))</f>
        <v/>
      </c>
      <c r="AY4" t="str">
        <f ca="1">IF(AND(ISNUMBER($AY$56),$B$53=1),$AY$56,HLOOKUP(INDIRECT(ADDRESS(2,COLUMN())),OFFSET($BM$2,0,0,ROW()-1,59),ROW()-1,FALSE))</f>
        <v/>
      </c>
      <c r="AZ4" t="str">
        <f ca="1">IF(AND(ISNUMBER($AZ$56),$B$53=1),$AZ$56,HLOOKUP(INDIRECT(ADDRESS(2,COLUMN())),OFFSET($BM$2,0,0,ROW()-1,59),ROW()-1,FALSE))</f>
        <v/>
      </c>
      <c r="BA4" t="str">
        <f ca="1">IF(AND(ISNUMBER($BA$56),$B$53=1),$BA$56,HLOOKUP(INDIRECT(ADDRESS(2,COLUMN())),OFFSET($BM$2,0,0,ROW()-1,59),ROW()-1,FALSE))</f>
        <v/>
      </c>
      <c r="BB4" t="str">
        <f ca="1">IF(AND(ISNUMBER($BB$56),$B$53=1),$BB$56,HLOOKUP(INDIRECT(ADDRESS(2,COLUMN())),OFFSET($BM$2,0,0,ROW()-1,59),ROW()-1,FALSE))</f>
        <v/>
      </c>
      <c r="BC4" t="str">
        <f ca="1">IF(AND(ISNUMBER($BC$56),$B$53=1),$BC$56,HLOOKUP(INDIRECT(ADDRESS(2,COLUMN())),OFFSET($BM$2,0,0,ROW()-1,59),ROW()-1,FALSE))</f>
        <v/>
      </c>
      <c r="BD4" t="str">
        <f ca="1">IF(AND(ISNUMBER($BD$56),$B$53=1),$BD$56,HLOOKUP(INDIRECT(ADDRESS(2,COLUMN())),OFFSET($BM$2,0,0,ROW()-1,59),ROW()-1,FALSE))</f>
        <v/>
      </c>
      <c r="BE4" t="str">
        <f ca="1">IF(AND(ISNUMBER($BE$56),$B$53=1),$BE$56,HLOOKUP(INDIRECT(ADDRESS(2,COLUMN())),OFFSET($BM$2,0,0,ROW()-1,59),ROW()-1,FALSE))</f>
        <v/>
      </c>
      <c r="BF4" t="str">
        <f ca="1">IF(AND(ISNUMBER($BF$56),$B$53=1),$BF$56,HLOOKUP(INDIRECT(ADDRESS(2,COLUMN())),OFFSET($BM$2,0,0,ROW()-1,59),ROW()-1,FALSE))</f>
        <v/>
      </c>
      <c r="BG4" t="str">
        <f ca="1">IF(AND(ISNUMBER($BG$56),$B$53=1),$BG$56,HLOOKUP(INDIRECT(ADDRESS(2,COLUMN())),OFFSET($BM$2,0,0,ROW()-1,59),ROW()-1,FALSE))</f>
        <v/>
      </c>
      <c r="BH4" t="str">
        <f ca="1">IF(AND(ISNUMBER($BH$56),$B$53=1),$BH$56,HLOOKUP(INDIRECT(ADDRESS(2,COLUMN())),OFFSET($BM$2,0,0,ROW()-1,59),ROW()-1,FALSE))</f>
        <v/>
      </c>
      <c r="BI4" t="str">
        <f ca="1">IF(AND(ISNUMBER($BI$56),$B$53=1),$BI$56,HLOOKUP(INDIRECT(ADDRESS(2,COLUMN())),OFFSET($BM$2,0,0,ROW()-1,59),ROW()-1,FALSE))</f>
        <v/>
      </c>
      <c r="BJ4" t="str">
        <f ca="1">IF(AND(ISNUMBER($BJ$56),$B$53=1),$BJ$56,HLOOKUP(INDIRECT(ADDRESS(2,COLUMN())),OFFSET($BM$2,0,0,ROW()-1,59),ROW()-1,FALSE))</f>
        <v/>
      </c>
      <c r="BK4" t="str">
        <f ca="1">IF(AND(ISNUMBER($BK$56),$B$53=1),$BK$56,HLOOKUP(INDIRECT(ADDRESS(2,COLUMN())),OFFSET($BM$2,0,0,ROW()-1,59),ROW()-1,FALSE))</f>
        <v/>
      </c>
      <c r="BL4" t="str">
        <f ca="1">IF(AND(ISNUMBER($BL$56),$B$53=1),$BL$56,HLOOKUP(INDIRECT(ADDRESS(2,COLUMN())),OFFSET($BM$2,0,0,ROW()-1,59),ROW()-1,FALSE))</f>
        <v/>
      </c>
      <c r="BM4">
        <f>23606.33773</f>
        <v>23606.337729999999</v>
      </c>
      <c r="BN4">
        <f>23341.73636</f>
        <v>23341.736359999999</v>
      </c>
      <c r="BO4">
        <f>25255.14253</f>
        <v>25255.142530000001</v>
      </c>
      <c r="BP4">
        <f>22728.04798</f>
        <v>22728.047979999999</v>
      </c>
      <c r="BQ4">
        <f>24422.56068</f>
        <v>24422.560679999999</v>
      </c>
      <c r="BR4">
        <f>22732.0768099999</f>
        <v>22732.076809999999</v>
      </c>
      <c r="BS4">
        <f>23456.20981</f>
        <v>23456.20981</v>
      </c>
      <c r="BT4">
        <f>22913.68092</f>
        <v>22913.680919999999</v>
      </c>
      <c r="BU4">
        <f>24396.07228</f>
        <v>24396.07228</v>
      </c>
      <c r="BV4">
        <f>22480.721</f>
        <v>22480.721000000001</v>
      </c>
      <c r="BW4">
        <f>23030.76231</f>
        <v>23030.762309999998</v>
      </c>
      <c r="BX4">
        <f>22376.44072</f>
        <v>22376.440719999999</v>
      </c>
      <c r="BY4">
        <f>23093.00005</f>
        <v>23093.000049999999</v>
      </c>
      <c r="BZ4">
        <f>21398.78772</f>
        <v>21398.78772</v>
      </c>
      <c r="CA4">
        <f>22923.28258</f>
        <v>22923.282579999999</v>
      </c>
      <c r="CB4">
        <f>20731.44518</f>
        <v>20731.445179999999</v>
      </c>
      <c r="CC4">
        <f>22539.36243</f>
        <v>22539.362430000001</v>
      </c>
      <c r="CD4">
        <f>20924.51525</f>
        <v>20924.51525</v>
      </c>
      <c r="CE4">
        <f>21388.08115</f>
        <v>21388.081150000002</v>
      </c>
      <c r="CF4">
        <f>18169.5967</f>
        <v>18169.596699999998</v>
      </c>
      <c r="CG4">
        <f>20819.43576</f>
        <v>20819.43576</v>
      </c>
      <c r="CH4">
        <f>19279.73172</f>
        <v>19279.73172</v>
      </c>
      <c r="CI4">
        <f>20831.03043</f>
        <v>20831.030429999999</v>
      </c>
      <c r="CJ4">
        <f>24512.36094</f>
        <v>24512.360939999999</v>
      </c>
      <c r="CK4">
        <f>18599.4525</f>
        <v>18599.452499999999</v>
      </c>
      <c r="CL4">
        <f>18328.82764</f>
        <v>18328.82764</v>
      </c>
      <c r="CM4">
        <f>19759.03642</f>
        <v>19759.03642</v>
      </c>
      <c r="CN4">
        <f>17960.50977</f>
        <v>17960.509770000001</v>
      </c>
      <c r="CO4">
        <f>17705.03471</f>
        <v>17705.03471</v>
      </c>
      <c r="CP4">
        <f>13962.71031</f>
        <v>13962.71031</v>
      </c>
      <c r="CQ4">
        <f>10289.6091</f>
        <v>10289.6091</v>
      </c>
      <c r="CR4">
        <f>15366.72707</f>
        <v>15366.727070000001</v>
      </c>
      <c r="CS4">
        <f>16032.98963</f>
        <v>16032.98963</v>
      </c>
      <c r="CT4">
        <f>15562.67007</f>
        <v>15562.67007</v>
      </c>
      <c r="CU4">
        <f>16049.17871</f>
        <v>16049.17871</v>
      </c>
      <c r="CV4">
        <f>16181.83259</f>
        <v>16181.83259</v>
      </c>
      <c r="CW4">
        <f>18241.812</f>
        <v>18241.812000000002</v>
      </c>
      <c r="CX4">
        <f>15354.00024</f>
        <v>15354.000239999999</v>
      </c>
      <c r="CY4">
        <f>12094.06772</f>
        <v>12094.067719999999</v>
      </c>
      <c r="CZ4">
        <f>9930.706897</f>
        <v>9930.706897</v>
      </c>
      <c r="DA4">
        <f>14072.41617</f>
        <v>14072.41617</v>
      </c>
      <c r="DB4">
        <f>17673.67243</f>
        <v>17673.672429999999</v>
      </c>
      <c r="DC4">
        <f>20226.42335</f>
        <v>20226.423350000001</v>
      </c>
      <c r="DD4" t="str">
        <f>""</f>
        <v/>
      </c>
      <c r="DE4" t="str">
        <f>""</f>
        <v/>
      </c>
      <c r="DF4" t="str">
        <f>""</f>
        <v/>
      </c>
      <c r="DG4" t="str">
        <f>""</f>
        <v/>
      </c>
      <c r="DH4" t="str">
        <f>""</f>
        <v/>
      </c>
      <c r="DI4" t="str">
        <f>""</f>
        <v/>
      </c>
      <c r="DJ4" t="str">
        <f>""</f>
        <v/>
      </c>
      <c r="DK4" t="str">
        <f>""</f>
        <v/>
      </c>
      <c r="DL4" t="str">
        <f>""</f>
        <v/>
      </c>
      <c r="DM4" t="str">
        <f>""</f>
        <v/>
      </c>
      <c r="DN4" t="str">
        <f>""</f>
        <v/>
      </c>
      <c r="DO4" t="str">
        <f>""</f>
        <v/>
      </c>
      <c r="DP4" t="str">
        <f>""</f>
        <v/>
      </c>
      <c r="DQ4" t="str">
        <f>""</f>
        <v/>
      </c>
      <c r="DR4" t="str">
        <f>""</f>
        <v/>
      </c>
      <c r="DS4" t="str">
        <f>""</f>
        <v/>
      </c>
    </row>
    <row r="5" spans="1:123" x14ac:dyDescent="0.25">
      <c r="A5" t="str">
        <f>"By Geography ($M) - Volkswagen"</f>
        <v>By Geography ($M) - Volkswagen</v>
      </c>
      <c r="B5" t="str">
        <f>"VOW GR Equity"</f>
        <v>VOW GR Equity</v>
      </c>
      <c r="C5" t="str">
        <f>"IS010"</f>
        <v>IS010</v>
      </c>
      <c r="D5" t="str">
        <f>"SALES_REV_TURN"</f>
        <v>SALES_REV_TURN</v>
      </c>
      <c r="E5" t="str">
        <f t="shared" si="0"/>
        <v>Dynamic</v>
      </c>
      <c r="F5">
        <f ca="1">IF(AND(ISNUMBER($F$57),$B$53=1),$F$57,HLOOKUP(INDIRECT(ADDRESS(2,COLUMN())),OFFSET($BM$2,0,0,ROW()-1,59),ROW()-1,FALSE))</f>
        <v>69915.579639999996</v>
      </c>
      <c r="G5">
        <f ca="1">IF(AND(ISNUMBER($G$57),$B$53=1),$G$57,HLOOKUP(INDIRECT(ADDRESS(2,COLUMN())),OFFSET($BM$2,0,0,ROW()-1,59),ROW()-1,FALSE))</f>
        <v>64190.445229999998</v>
      </c>
      <c r="H5">
        <f ca="1">IF(AND(ISNUMBER($H$57),$B$53=1),$H$57,HLOOKUP(INDIRECT(ADDRESS(2,COLUMN())),OFFSET($BM$2,0,0,ROW()-1,59),ROW()-1,FALSE))</f>
        <v>72901.231010000003</v>
      </c>
      <c r="I5">
        <f ca="1">IF(AND(ISNUMBER($I$57),$B$53=1),$I$57,HLOOKUP(INDIRECT(ADDRESS(2,COLUMN())),OFFSET($BM$2,0,0,ROW()-1,59),ROW()-1,FALSE))</f>
        <v>71561.407460000002</v>
      </c>
      <c r="J5">
        <f ca="1">IF(AND(ISNUMBER($J$57),$B$53=1),$J$57,HLOOKUP(INDIRECT(ADDRESS(2,COLUMN())),OFFSET($BM$2,0,0,ROW()-1,59),ROW()-1,FALSE))</f>
        <v>70449.913279999993</v>
      </c>
      <c r="K5">
        <f ca="1">IF(AND(ISNUMBER($K$57),$B$53=1),$K$57,HLOOKUP(INDIRECT(ADDRESS(2,COLUMN())),OFFSET($BM$2,0,0,ROW()-1,59),ROW()-1,FALSE))</f>
        <v>64287.187879999998</v>
      </c>
      <c r="L5">
        <f ca="1">IF(AND(ISNUMBER($L$57),$B$53=1),$L$57,HLOOKUP(INDIRECT(ADDRESS(2,COLUMN())),OFFSET($BM$2,0,0,ROW()-1,59),ROW()-1,FALSE))</f>
        <v>65128.604330000002</v>
      </c>
      <c r="M5">
        <f ca="1">IF(AND(ISNUMBER($M$57),$B$53=1),$M$57,HLOOKUP(INDIRECT(ADDRESS(2,COLUMN())),OFFSET($BM$2,0,0,ROW()-1,59),ROW()-1,FALSE))</f>
        <v>59860.175510000001</v>
      </c>
      <c r="N5">
        <f ca="1">IF(AND(ISNUMBER($N$57),$B$53=1),$N$57,HLOOKUP(INDIRECT(ADDRESS(2,COLUMN())),OFFSET($BM$2,0,0,ROW()-1,59),ROW()-1,FALSE))</f>
        <v>61805.648110000002</v>
      </c>
      <c r="O5">
        <f ca="1">IF(AND(ISNUMBER($O$57),$B$53=1),$O$57,HLOOKUP(INDIRECT(ADDRESS(2,COLUMN())),OFFSET($BM$2,0,0,ROW()-1,59),ROW()-1,FALSE))</f>
        <v>58038.669300000001</v>
      </c>
      <c r="P5">
        <f ca="1">IF(AND(ISNUMBER($P$57),$B$53=1),$P$57,HLOOKUP(INDIRECT(ADDRESS(2,COLUMN())),OFFSET($BM$2,0,0,ROW()-1,59),ROW()-1,FALSE))</f>
        <v>64352.14961</v>
      </c>
      <c r="Q5">
        <f ca="1">IF(AND(ISNUMBER($Q$57),$B$53=1),$Q$57,HLOOKUP(INDIRECT(ADDRESS(2,COLUMN())),OFFSET($BM$2,0,0,ROW()-1,59),ROW()-1,FALSE))</f>
        <v>56235.923940000001</v>
      </c>
      <c r="R5">
        <f ca="1">IF(AND(ISNUMBER($R$57),$B$53=1),$R$57,HLOOKUP(INDIRECT(ADDRESS(2,COLUMN())),OFFSET($BM$2,0,0,ROW()-1,59),ROW()-1,FALSE))</f>
        <v>58075.223570000002</v>
      </c>
      <c r="S5">
        <f ca="1">IF(AND(ISNUMBER($S$57),$B$53=1),$S$57,HLOOKUP(INDIRECT(ADDRESS(2,COLUMN())),OFFSET($BM$2,0,0,ROW()-1,59),ROW()-1,FALSE))</f>
        <v>57251.917479999996</v>
      </c>
      <c r="T5">
        <f ca="1">IF(AND(ISNUMBER($T$57),$B$53=1),$T$57,HLOOKUP(INDIRECT(ADDRESS(2,COLUMN())),OFFSET($BM$2,0,0,ROW()-1,59),ROW()-1,FALSE))</f>
        <v>62028.748059999998</v>
      </c>
      <c r="U5">
        <f ca="1">IF(AND(ISNUMBER($U$57),$B$53=1),$U$57,HLOOKUP(INDIRECT(ADDRESS(2,COLUMN())),OFFSET($BM$2,0,0,ROW()-1,59),ROW()-1,FALSE))</f>
        <v>59404.931040000003</v>
      </c>
      <c r="V5">
        <f ca="1">IF(AND(ISNUMBER($V$57),$B$53=1),$V$57,HLOOKUP(INDIRECT(ADDRESS(2,COLUMN())),OFFSET($BM$2,0,0,ROW()-1,59),ROW()-1,FALSE))</f>
        <v>68355.368229999993</v>
      </c>
      <c r="W5">
        <f ca="1">IF(AND(ISNUMBER($W$57),$B$53=1),$W$57,HLOOKUP(INDIRECT(ADDRESS(2,COLUMN())),OFFSET($BM$2,0,0,ROW()-1,59),ROW()-1,FALSE))</f>
        <v>64820.137690000003</v>
      </c>
      <c r="X5">
        <f ca="1">IF(AND(ISNUMBER($X$57),$B$53=1),$X$57,HLOOKUP(INDIRECT(ADDRESS(2,COLUMN())),OFFSET($BM$2,0,0,ROW()-1,59),ROW()-1,FALSE))</f>
        <v>69914.910340000002</v>
      </c>
      <c r="Y5">
        <f ca="1">IF(AND(ISNUMBER($Y$57),$B$53=1),$Y$57,HLOOKUP(INDIRECT(ADDRESS(2,COLUMN())),OFFSET($BM$2,0,0,ROW()-1,59),ROW()-1,FALSE))</f>
        <v>65546.075060000003</v>
      </c>
      <c r="Z5">
        <f ca="1">IF(AND(ISNUMBER($Z$57),$B$53=1),$Z$57,HLOOKUP(INDIRECT(ADDRESS(2,COLUMN())),OFFSET($BM$2,0,0,ROW()-1,59),ROW()-1,FALSE))</f>
        <v>69894.119219999993</v>
      </c>
      <c r="AA5">
        <f ca="1">IF(AND(ISNUMBER($AA$57),$B$53=1),$AA$57,HLOOKUP(INDIRECT(ADDRESS(2,COLUMN())),OFFSET($BM$2,0,0,ROW()-1,59),ROW()-1,FALSE))</f>
        <v>62239.506050000004</v>
      </c>
      <c r="AB5">
        <f ca="1">IF(AND(ISNUMBER($AB$57),$B$53=1),$AB$57,HLOOKUP(INDIRECT(ADDRESS(2,COLUMN())),OFFSET($BM$2,0,0,ROW()-1,59),ROW()-1,FALSE))</f>
        <v>68083.119590000002</v>
      </c>
      <c r="AC5">
        <f ca="1">IF(AND(ISNUMBER($AC$57),$B$53=1),$AC$57,HLOOKUP(INDIRECT(ADDRESS(2,COLUMN())),OFFSET($BM$2,0,0,ROW()-1,59),ROW()-1,FALSE))</f>
        <v>61478.452270000002</v>
      </c>
      <c r="AD5">
        <f ca="1">IF(AND(ISNUMBER($AD$57),$B$53=1),$AD$57,HLOOKUP(INDIRECT(ADDRESS(2,COLUMN())),OFFSET($BM$2,0,0,ROW()-1,59),ROW()-1,FALSE))</f>
        <v>62864.693509999997</v>
      </c>
      <c r="AE5">
        <f ca="1">IF(AND(ISNUMBER($AE$57),$B$53=1),$AE$57,HLOOKUP(INDIRECT(ADDRESS(2,COLUMN())),OFFSET($BM$2,0,0,ROW()-1,59),ROW()-1,FALSE))</f>
        <v>61108.934419999998</v>
      </c>
      <c r="AF5">
        <f ca="1">IF(AND(ISNUMBER($AF$57),$B$53=1),$AF$57,HLOOKUP(INDIRECT(ADDRESS(2,COLUMN())),OFFSET($BM$2,0,0,ROW()-1,59),ROW()-1,FALSE))</f>
        <v>61660.518609999999</v>
      </c>
      <c r="AG5">
        <f ca="1">IF(AND(ISNUMBER($AG$57),$B$53=1),$AG$57,HLOOKUP(INDIRECT(ADDRESS(2,COLUMN())),OFFSET($BM$2,0,0,ROW()-1,59),ROW()-1,FALSE))</f>
        <v>62071.955220000003</v>
      </c>
      <c r="AH5">
        <f ca="1">IF(AND(ISNUMBER($AH$57),$B$53=1),$AH$57,HLOOKUP(INDIRECT(ADDRESS(2,COLUMN())),OFFSET($BM$2,0,0,ROW()-1,59),ROW()-1,FALSE))</f>
        <v>58020.668250000002</v>
      </c>
      <c r="AI5">
        <f ca="1">IF(AND(ISNUMBER($AI$57),$B$53=1),$AI$57,HLOOKUP(INDIRECT(ADDRESS(2,COLUMN())),OFFSET($BM$2,0,0,ROW()-1,59),ROW()-1,FALSE))</f>
        <v>54406.50634</v>
      </c>
      <c r="AJ5">
        <f ca="1">IF(AND(ISNUMBER($AJ$57),$B$53=1),$AJ$57,HLOOKUP(INDIRECT(ADDRESS(2,COLUMN())),OFFSET($BM$2,0,0,ROW()-1,59),ROW()-1,FALSE))</f>
        <v>58012.399429999998</v>
      </c>
      <c r="AK5">
        <f ca="1">IF(AND(ISNUMBER($AK$57),$B$53=1),$AK$57,HLOOKUP(INDIRECT(ADDRESS(2,COLUMN())),OFFSET($BM$2,0,0,ROW()-1,59),ROW()-1,FALSE))</f>
        <v>51300.195419999996</v>
      </c>
      <c r="AL5">
        <f ca="1">IF(AND(ISNUMBER($AL$57),$B$53=1),$AL$57,HLOOKUP(INDIRECT(ADDRESS(2,COLUMN())),OFFSET($BM$2,0,0,ROW()-1,59),ROW()-1,FALSE))</f>
        <v>46603.024469999997</v>
      </c>
      <c r="AM5">
        <f ca="1">IF(AND(ISNUMBER($AM$57),$B$53=1),$AM$57,HLOOKUP(INDIRECT(ADDRESS(2,COLUMN())),OFFSET($BM$2,0,0,ROW()-1,59),ROW()-1,FALSE))</f>
        <v>39733.934439999997</v>
      </c>
      <c r="AN5">
        <f ca="1">IF(AND(ISNUMBER($AN$57),$B$53=1),$AN$57,HLOOKUP(INDIRECT(ADDRESS(2,COLUMN())),OFFSET($BM$2,0,0,ROW()-1,59),ROW()-1,FALSE))</f>
        <v>42224.235860000001</v>
      </c>
      <c r="AO5">
        <f ca="1">IF(AND(ISNUMBER($AO$57),$B$53=1),$AO$57,HLOOKUP(INDIRECT(ADDRESS(2,COLUMN())),OFFSET($BM$2,0,0,ROW()-1,59),ROW()-1,FALSE))</f>
        <v>39644.428870000003</v>
      </c>
      <c r="AP5">
        <f ca="1">IF(AND(ISNUMBER($AP$57),$B$53=1),$AP$57,HLOOKUP(INDIRECT(ADDRESS(2,COLUMN())),OFFSET($BM$2,0,0,ROW()-1,59),ROW()-1,FALSE))</f>
        <v>41373.986989999998</v>
      </c>
      <c r="AQ5">
        <f ca="1">IF(AND(ISNUMBER($AQ$57),$B$53=1),$AQ$57,HLOOKUP(INDIRECT(ADDRESS(2,COLUMN())),OFFSET($BM$2,0,0,ROW()-1,59),ROW()-1,FALSE))</f>
        <v>37131.04118</v>
      </c>
      <c r="AR5">
        <f ca="1">IF(AND(ISNUMBER($AR$57),$B$53=1),$AR$57,HLOOKUP(INDIRECT(ADDRESS(2,COLUMN())),OFFSET($BM$2,0,0,ROW()-1,59),ROW()-1,FALSE))</f>
        <v>37073.453699999998</v>
      </c>
      <c r="AS5">
        <f ca="1">IF(AND(ISNUMBER($AS$57),$B$53=1),$AS$57,HLOOKUP(INDIRECT(ADDRESS(2,COLUMN())),OFFSET($BM$2,0,0,ROW()-1,59),ROW()-1,FALSE))</f>
        <v>31320.23244</v>
      </c>
      <c r="AT5">
        <f ca="1">IF(AND(ISNUMBER($AT$57),$B$53=1),$AT$57,HLOOKUP(INDIRECT(ADDRESS(2,COLUMN())),OFFSET($BM$2,0,0,ROW()-1,59),ROW()-1,FALSE))</f>
        <v>37465.299279999999</v>
      </c>
      <c r="AU5">
        <f ca="1">IF(AND(ISNUMBER($AU$57),$B$53=1),$AU$57,HLOOKUP(INDIRECT(ADDRESS(2,COLUMN())),OFFSET($BM$2,0,0,ROW()-1,59),ROW()-1,FALSE))</f>
        <v>43495.075629999999</v>
      </c>
      <c r="AV5">
        <f ca="1">IF(AND(ISNUMBER($AV$57),$B$53=1),$AV$57,HLOOKUP(INDIRECT(ADDRESS(2,COLUMN())),OFFSET($BM$2,0,0,ROW()-1,59),ROW()-1,FALSE))</f>
        <v>46076.141230000001</v>
      </c>
      <c r="AW5">
        <f ca="1">IF(AND(ISNUMBER($AW$57),$B$53=1),$AW$57,HLOOKUP(INDIRECT(ADDRESS(2,COLUMN())),OFFSET($BM$2,0,0,ROW()-1,59),ROW()-1,FALSE))</f>
        <v>40495.491679999999</v>
      </c>
      <c r="AX5">
        <f ca="1">IF(AND(ISNUMBER($AX$57),$B$53=1),$AX$57,HLOOKUP(INDIRECT(ADDRESS(2,COLUMN())),OFFSET($BM$2,0,0,ROW()-1,59),ROW()-1,FALSE))</f>
        <v>40462.544569999998</v>
      </c>
      <c r="AY5">
        <f ca="1">IF(AND(ISNUMBER($AY$57),$B$53=1),$AY$57,HLOOKUP(INDIRECT(ADDRESS(2,COLUMN())),OFFSET($BM$2,0,0,ROW()-1,59),ROW()-1,FALSE))</f>
        <v>35885.506410000002</v>
      </c>
      <c r="AZ5">
        <f ca="1">IF(AND(ISNUMBER($AZ$57),$B$53=1),$AZ$57,HLOOKUP(INDIRECT(ADDRESS(2,COLUMN())),OFFSET($BM$2,0,0,ROW()-1,59),ROW()-1,FALSE))</f>
        <v>38038.790820000002</v>
      </c>
      <c r="BA5">
        <f ca="1">IF(AND(ISNUMBER($BA$57),$B$53=1),$BA$57,HLOOKUP(INDIRECT(ADDRESS(2,COLUMN())),OFFSET($BM$2,0,0,ROW()-1,59),ROW()-1,FALSE))</f>
        <v>34920.484559999997</v>
      </c>
      <c r="BB5">
        <f ca="1">IF(AND(ISNUMBER($BB$57),$B$53=1),$BB$57,HLOOKUP(INDIRECT(ADDRESS(2,COLUMN())),OFFSET($BM$2,0,0,ROW()-1,59),ROW()-1,FALSE))</f>
        <v>35914.38033</v>
      </c>
      <c r="BC5">
        <f ca="1">IF(AND(ISNUMBER($BC$57),$B$53=1),$BC$57,HLOOKUP(INDIRECT(ADDRESS(2,COLUMN())),OFFSET($BM$2,0,0,ROW()-1,59),ROW()-1,FALSE))</f>
        <v>32036.685150000001</v>
      </c>
      <c r="BD5">
        <f ca="1">IF(AND(ISNUMBER($BD$57),$B$53=1),$BD$57,HLOOKUP(INDIRECT(ADDRESS(2,COLUMN())),OFFSET($BM$2,0,0,ROW()-1,59),ROW()-1,FALSE))</f>
        <v>33410.990330000001</v>
      </c>
      <c r="BE5">
        <f ca="1">IF(AND(ISNUMBER($BE$57),$B$53=1),$BE$57,HLOOKUP(INDIRECT(ADDRESS(2,COLUMN())),OFFSET($BM$2,0,0,ROW()-1,59),ROW()-1,FALSE))</f>
        <v>30484.055629999999</v>
      </c>
      <c r="BF5">
        <f ca="1">IF(AND(ISNUMBER($BF$57),$B$53=1),$BF$57,HLOOKUP(INDIRECT(ADDRESS(2,COLUMN())),OFFSET($BM$2,0,0,ROW()-1,59),ROW()-1,FALSE))</f>
        <v>29816.984189999999</v>
      </c>
      <c r="BG5">
        <f ca="1">IF(AND(ISNUMBER($BG$57),$B$53=1),$BG$57,HLOOKUP(INDIRECT(ADDRESS(2,COLUMN())),OFFSET($BM$2,0,0,ROW()-1,59),ROW()-1,FALSE))</f>
        <v>28622.253509999999</v>
      </c>
      <c r="BH5">
        <f ca="1">IF(AND(ISNUMBER($BH$57),$B$53=1),$BH$57,HLOOKUP(INDIRECT(ADDRESS(2,COLUMN())),OFFSET($BM$2,0,0,ROW()-1,59),ROW()-1,FALSE))</f>
        <v>30943.073329999999</v>
      </c>
      <c r="BI5">
        <f ca="1">IF(AND(ISNUMBER($BI$57),$B$53=1),$BI$57,HLOOKUP(INDIRECT(ADDRESS(2,COLUMN())),OFFSET($BM$2,0,0,ROW()-1,59),ROW()-1,FALSE))</f>
        <v>27354.748540000001</v>
      </c>
      <c r="BJ5">
        <f ca="1">IF(AND(ISNUMBER($BJ$57),$B$53=1),$BJ$57,HLOOKUP(INDIRECT(ADDRESS(2,COLUMN())),OFFSET($BM$2,0,0,ROW()-1,59),ROW()-1,FALSE))</f>
        <v>29365.390920000002</v>
      </c>
      <c r="BK5">
        <f ca="1">IF(AND(ISNUMBER($BK$57),$B$53=1),$BK$57,HLOOKUP(INDIRECT(ADDRESS(2,COLUMN())),OFFSET($BM$2,0,0,ROW()-1,59),ROW()-1,FALSE))</f>
        <v>25905.10125</v>
      </c>
      <c r="BL5">
        <f ca="1">IF(AND(ISNUMBER($BL$57),$B$53=1),$BL$57,HLOOKUP(INDIRECT(ADDRESS(2,COLUMN())),OFFSET($BM$2,0,0,ROW()-1,59),ROW()-1,FALSE))</f>
        <v>28329.411950000002</v>
      </c>
      <c r="BM5">
        <f>69915.57964</f>
        <v>69915.579639999996</v>
      </c>
      <c r="BN5">
        <f>64190.44523</f>
        <v>64190.445229999998</v>
      </c>
      <c r="BO5">
        <f>72901.23101</f>
        <v>72901.231010000003</v>
      </c>
      <c r="BP5">
        <f>71561.40746</f>
        <v>71561.407460000002</v>
      </c>
      <c r="BQ5">
        <f>70449.91328</f>
        <v>70449.913279999993</v>
      </c>
      <c r="BR5">
        <f>64287.18788</f>
        <v>64287.187879999998</v>
      </c>
      <c r="BS5">
        <f>65128.60433</f>
        <v>65128.604330000002</v>
      </c>
      <c r="BT5">
        <f>59860.17551</f>
        <v>59860.175510000001</v>
      </c>
      <c r="BU5">
        <f>61805.64811</f>
        <v>61805.648110000002</v>
      </c>
      <c r="BV5">
        <f>58038.6693</f>
        <v>58038.669300000001</v>
      </c>
      <c r="BW5">
        <f>64352.14961</f>
        <v>64352.14961</v>
      </c>
      <c r="BX5">
        <f>56235.92394</f>
        <v>56235.923940000001</v>
      </c>
      <c r="BY5">
        <f>58075.22357</f>
        <v>58075.223570000002</v>
      </c>
      <c r="BZ5">
        <f>57251.91748</f>
        <v>57251.917479999996</v>
      </c>
      <c r="CA5">
        <f>62028.74806</f>
        <v>62028.748059999998</v>
      </c>
      <c r="CB5">
        <f>59404.93104</f>
        <v>59404.931040000003</v>
      </c>
      <c r="CC5">
        <f>68355.36823</f>
        <v>68355.368229999993</v>
      </c>
      <c r="CD5">
        <f>64820.13769</f>
        <v>64820.137690000003</v>
      </c>
      <c r="CE5">
        <f>69914.91034</f>
        <v>69914.910340000002</v>
      </c>
      <c r="CF5">
        <f>65546.07506</f>
        <v>65546.075060000003</v>
      </c>
      <c r="CG5">
        <f>69894.11922</f>
        <v>69894.119219999993</v>
      </c>
      <c r="CH5">
        <f>62239.50605</f>
        <v>62239.506050000004</v>
      </c>
      <c r="CI5">
        <f>68083.11959</f>
        <v>68083.119590000002</v>
      </c>
      <c r="CJ5">
        <f>61478.45227</f>
        <v>61478.452270000002</v>
      </c>
      <c r="CK5">
        <f>62864.69351</f>
        <v>62864.693509999997</v>
      </c>
      <c r="CL5">
        <f>61108.93442</f>
        <v>61108.934419999998</v>
      </c>
      <c r="CM5">
        <f>61660.51861</f>
        <v>61660.518609999999</v>
      </c>
      <c r="CN5">
        <f>62071.95522</f>
        <v>62071.955220000003</v>
      </c>
      <c r="CO5">
        <f>58020.66825</f>
        <v>58020.668250000002</v>
      </c>
      <c r="CP5">
        <f>54406.50634</f>
        <v>54406.50634</v>
      </c>
      <c r="CQ5">
        <f>58012.39943</f>
        <v>58012.399429999998</v>
      </c>
      <c r="CR5">
        <f>51300.19542</f>
        <v>51300.195419999996</v>
      </c>
      <c r="CS5">
        <f>46603.02447</f>
        <v>46603.024469999997</v>
      </c>
      <c r="CT5">
        <f>39733.93444</f>
        <v>39733.934439999997</v>
      </c>
      <c r="CU5">
        <f>42224.23586</f>
        <v>42224.235860000001</v>
      </c>
      <c r="CV5">
        <f>39644.42887</f>
        <v>39644.428870000003</v>
      </c>
      <c r="CW5">
        <f>41373.98699</f>
        <v>41373.986989999998</v>
      </c>
      <c r="CX5">
        <f>37131.04118</f>
        <v>37131.04118</v>
      </c>
      <c r="CY5">
        <f>37073.4537</f>
        <v>37073.453699999998</v>
      </c>
      <c r="CZ5">
        <f>31320.23244</f>
        <v>31320.23244</v>
      </c>
      <c r="DA5">
        <f>37465.29928</f>
        <v>37465.299279999999</v>
      </c>
      <c r="DB5">
        <f>43495.07563</f>
        <v>43495.075629999999</v>
      </c>
      <c r="DC5">
        <f>46076.14123</f>
        <v>46076.141230000001</v>
      </c>
      <c r="DD5">
        <f>40495.49168</f>
        <v>40495.491679999999</v>
      </c>
      <c r="DE5">
        <f>40462.54457</f>
        <v>40462.544569999998</v>
      </c>
      <c r="DF5">
        <f>35885.50641</f>
        <v>35885.506410000002</v>
      </c>
      <c r="DG5">
        <f>38038.79082</f>
        <v>38038.790820000002</v>
      </c>
      <c r="DH5">
        <f>34920.48456</f>
        <v>34920.484559999997</v>
      </c>
      <c r="DI5">
        <f>35914.38033</f>
        <v>35914.38033</v>
      </c>
      <c r="DJ5">
        <f>32036.68515</f>
        <v>32036.685150000001</v>
      </c>
      <c r="DK5">
        <f>33410.99033</f>
        <v>33410.990330000001</v>
      </c>
      <c r="DL5">
        <f>30484.05563</f>
        <v>30484.055629999999</v>
      </c>
      <c r="DM5">
        <f>29816.98419</f>
        <v>29816.984189999999</v>
      </c>
      <c r="DN5">
        <f>28622.25351</f>
        <v>28622.253509999999</v>
      </c>
      <c r="DO5">
        <f>30943.07333</f>
        <v>30943.073329999999</v>
      </c>
      <c r="DP5">
        <f>27354.74854</f>
        <v>27354.748540000001</v>
      </c>
      <c r="DQ5">
        <f>29365.39092</f>
        <v>29365.390920000002</v>
      </c>
      <c r="DR5">
        <f>25905.10125</f>
        <v>25905.10125</v>
      </c>
      <c r="DS5">
        <f>28329.41195</f>
        <v>28329.411950000002</v>
      </c>
    </row>
    <row r="6" spans="1:123" x14ac:dyDescent="0.25">
      <c r="A6" t="str">
        <f>"        North America"</f>
        <v xml:space="preserve">        North America</v>
      </c>
      <c r="B6" t="str">
        <f>"VOW GR Equity"</f>
        <v>VOW GR Equity</v>
      </c>
      <c r="C6" t="str">
        <f>"BI047"</f>
        <v>BI047</v>
      </c>
      <c r="D6" t="str">
        <f>"BICS_SEGMENT_DATA"</f>
        <v>BICS_SEGMENT_DATA</v>
      </c>
      <c r="E6" t="str">
        <f t="shared" si="0"/>
        <v>Dynamic</v>
      </c>
      <c r="F6" t="str">
        <f ca="1">IF(AND(ISNUMBER($F$58),$B$53=1),$F$58,HLOOKUP(INDIRECT(ADDRESS(2,COLUMN())),OFFSET($BM$2,0,0,ROW()-1,59),ROW()-1,FALSE))</f>
        <v/>
      </c>
      <c r="G6">
        <f ca="1">IF(AND(ISNUMBER($G$58),$B$53=1),$G$58,HLOOKUP(INDIRECT(ADDRESS(2,COLUMN())),OFFSET($BM$2,0,0,ROW()-1,59),ROW()-1,FALSE))</f>
        <v>11237.9794</v>
      </c>
      <c r="H6">
        <f ca="1">IF(AND(ISNUMBER($H$58),$B$53=1),$H$58,HLOOKUP(INDIRECT(ADDRESS(2,COLUMN())),OFFSET($BM$2,0,0,ROW()-1,59),ROW()-1,FALSE))</f>
        <v>10723.749739999999</v>
      </c>
      <c r="I6">
        <f ca="1">IF(AND(ISNUMBER($I$58),$B$53=1),$I$58,HLOOKUP(INDIRECT(ADDRESS(2,COLUMN())),OFFSET($BM$2,0,0,ROW()-1,59),ROW()-1,FALSE))</f>
        <v>10735.00995</v>
      </c>
      <c r="J6">
        <f ca="1">IF(AND(ISNUMBER($J$58),$B$53=1),$J$58,HLOOKUP(INDIRECT(ADDRESS(2,COLUMN())),OFFSET($BM$2,0,0,ROW()-1,59),ROW()-1,FALSE))</f>
        <v>12158.96394</v>
      </c>
      <c r="K6">
        <f ca="1">IF(AND(ISNUMBER($K$58),$B$53=1),$K$58,HLOOKUP(INDIRECT(ADDRESS(2,COLUMN())),OFFSET($BM$2,0,0,ROW()-1,59),ROW()-1,FALSE))</f>
        <v>10984.37239</v>
      </c>
      <c r="L6">
        <f ca="1">IF(AND(ISNUMBER($L$58),$B$53=1),$L$58,HLOOKUP(INDIRECT(ADDRESS(2,COLUMN())),OFFSET($BM$2,0,0,ROW()-1,59),ROW()-1,FALSE))</f>
        <v>10895.872810000001</v>
      </c>
      <c r="M6">
        <f ca="1">IF(AND(ISNUMBER($M$58),$B$53=1),$M$58,HLOOKUP(INDIRECT(ADDRESS(2,COLUMN())),OFFSET($BM$2,0,0,ROW()-1,59),ROW()-1,FALSE))</f>
        <v>9000.8093499999995</v>
      </c>
      <c r="N6">
        <f ca="1">IF(AND(ISNUMBER($N$58),$B$53=1),$N$58,HLOOKUP(INDIRECT(ADDRESS(2,COLUMN())),OFFSET($BM$2,0,0,ROW()-1,59),ROW()-1,FALSE))</f>
        <v>10568.4586</v>
      </c>
      <c r="O6">
        <f ca="1">IF(AND(ISNUMBER($O$58),$B$53=1),$O$58,HLOOKUP(INDIRECT(ADDRESS(2,COLUMN())),OFFSET($BM$2,0,0,ROW()-1,59),ROW()-1,FALSE))</f>
        <v>9605.9539590000004</v>
      </c>
      <c r="P6">
        <f ca="1">IF(AND(ISNUMBER($P$58),$B$53=1),$P$58,HLOOKUP(INDIRECT(ADDRESS(2,COLUMN())),OFFSET($BM$2,0,0,ROW()-1,59),ROW()-1,FALSE))</f>
        <v>10111.81905</v>
      </c>
      <c r="Q6">
        <f ca="1">IF(AND(ISNUMBER($Q$58),$B$53=1),$Q$58,HLOOKUP(INDIRECT(ADDRESS(2,COLUMN())),OFFSET($BM$2,0,0,ROW()-1,59),ROW()-1,FALSE))</f>
        <v>8929.0694700000004</v>
      </c>
      <c r="R6">
        <f ca="1">IF(AND(ISNUMBER($R$58),$B$53=1),$R$58,HLOOKUP(INDIRECT(ADDRESS(2,COLUMN())),OFFSET($BM$2,0,0,ROW()-1,59),ROW()-1,FALSE))</f>
        <v>9652.7375690000008</v>
      </c>
      <c r="S6">
        <f ca="1">IF(AND(ISNUMBER($S$58),$B$53=1),$S$58,HLOOKUP(INDIRECT(ADDRESS(2,COLUMN())),OFFSET($BM$2,0,0,ROW()-1,59),ROW()-1,FALSE))</f>
        <v>10181.18275</v>
      </c>
      <c r="T6">
        <f ca="1">IF(AND(ISNUMBER($T$58),$B$53=1),$T$58,HLOOKUP(INDIRECT(ADDRESS(2,COLUMN())),OFFSET($BM$2,0,0,ROW()-1,59),ROW()-1,FALSE))</f>
        <v>10782.892229999999</v>
      </c>
      <c r="U6">
        <f ca="1">IF(AND(ISNUMBER($U$58),$B$53=1),$U$58,HLOOKUP(INDIRECT(ADDRESS(2,COLUMN())),OFFSET($BM$2,0,0,ROW()-1,59),ROW()-1,FALSE))</f>
        <v>8642.355759</v>
      </c>
      <c r="V6">
        <f ca="1">IF(AND(ISNUMBER($V$58),$B$53=1),$V$58,HLOOKUP(INDIRECT(ADDRESS(2,COLUMN())),OFFSET($BM$2,0,0,ROW()-1,59),ROW()-1,FALSE))</f>
        <v>9926.1385109999992</v>
      </c>
      <c r="W6">
        <f ca="1">IF(AND(ISNUMBER($W$58),$B$53=1),$W$58,HLOOKUP(INDIRECT(ADDRESS(2,COLUMN())),OFFSET($BM$2,0,0,ROW()-1,59),ROW()-1,FALSE))</f>
        <v>8965.6150369999996</v>
      </c>
      <c r="X6">
        <f ca="1">IF(AND(ISNUMBER($X$58),$B$53=1),$X$58,HLOOKUP(INDIRECT(ADDRESS(2,COLUMN())),OFFSET($BM$2,0,0,ROW()-1,59),ROW()-1,FALSE))</f>
        <v>9524.6876620000003</v>
      </c>
      <c r="Y6">
        <f ca="1">IF(AND(ISNUMBER($Y$58),$B$53=1),$Y$58,HLOOKUP(INDIRECT(ADDRESS(2,COLUMN())),OFFSET($BM$2,0,0,ROW()-1,59),ROW()-1,FALSE))</f>
        <v>8170.3052369999996</v>
      </c>
      <c r="Z6">
        <f ca="1">IF(AND(ISNUMBER($Z$58),$B$53=1),$Z$58,HLOOKUP(INDIRECT(ADDRESS(2,COLUMN())),OFFSET($BM$2,0,0,ROW()-1,59),ROW()-1,FALSE))</f>
        <v>9672.305891</v>
      </c>
      <c r="AA6">
        <f ca="1">IF(AND(ISNUMBER($AA$58),$B$53=1),$AA$58,HLOOKUP(INDIRECT(ADDRESS(2,COLUMN())),OFFSET($BM$2,0,0,ROW()-1,59),ROW()-1,FALSE))</f>
        <v>8573.2485500000003</v>
      </c>
      <c r="AB6">
        <f ca="1">IF(AND(ISNUMBER($AB$58),$B$53=1),$AB$58,HLOOKUP(INDIRECT(ADDRESS(2,COLUMN())),OFFSET($BM$2,0,0,ROW()-1,59),ROW()-1,FALSE))</f>
        <v>9540.6758279999995</v>
      </c>
      <c r="AC6">
        <f ca="1">IF(AND(ISNUMBER($AC$58),$B$53=1),$AC$58,HLOOKUP(INDIRECT(ADDRESS(2,COLUMN())),OFFSET($BM$2,0,0,ROW()-1,59),ROW()-1,FALSE))</f>
        <v>8652.8749769999995</v>
      </c>
      <c r="AD6">
        <f ca="1">IF(AND(ISNUMBER($AD$58),$B$53=1),$AD$58,HLOOKUP(INDIRECT(ADDRESS(2,COLUMN())),OFFSET($BM$2,0,0,ROW()-1,59),ROW()-1,FALSE))</f>
        <v>8839.9825980000005</v>
      </c>
      <c r="AE6">
        <f ca="1">IF(AND(ISNUMBER($AE$58),$B$53=1),$AE$58,HLOOKUP(INDIRECT(ADDRESS(2,COLUMN())),OFFSET($BM$2,0,0,ROW()-1,59),ROW()-1,FALSE))</f>
        <v>8648.1752309999993</v>
      </c>
      <c r="AF6">
        <f ca="1">IF(AND(ISNUMBER($AF$58),$B$53=1),$AF$58,HLOOKUP(INDIRECT(ADDRESS(2,COLUMN())),OFFSET($BM$2,0,0,ROW()-1,59),ROW()-1,FALSE))</f>
        <v>7769.8002200000001</v>
      </c>
      <c r="AG6">
        <f ca="1">IF(AND(ISNUMBER($AG$58),$B$53=1),$AG$58,HLOOKUP(INDIRECT(ADDRESS(2,COLUMN())),OFFSET($BM$2,0,0,ROW()-1,59),ROW()-1,FALSE))</f>
        <v>6905.4820650000001</v>
      </c>
      <c r="AH6">
        <f ca="1">IF(AND(ISNUMBER($AH$58),$B$53=1),$AH$58,HLOOKUP(INDIRECT(ADDRESS(2,COLUMN())),OFFSET($BM$2,0,0,ROW()-1,59),ROW()-1,FALSE))</f>
        <v>6667.4315219999999</v>
      </c>
      <c r="AI6">
        <f ca="1">IF(AND(ISNUMBER($AI$58),$B$53=1),$AI$58,HLOOKUP(INDIRECT(ADDRESS(2,COLUMN())),OFFSET($BM$2,0,0,ROW()-1,59),ROW()-1,FALSE))</f>
        <v>6156.6149409999998</v>
      </c>
      <c r="AJ6">
        <f ca="1">IF(AND(ISNUMBER($AJ$58),$B$53=1),$AJ$58,HLOOKUP(INDIRECT(ADDRESS(2,COLUMN())),OFFSET($BM$2,0,0,ROW()-1,59),ROW()-1,FALSE))</f>
        <v>6148.4678640000002</v>
      </c>
      <c r="AK6">
        <f ca="1">IF(AND(ISNUMBER($AK$58),$B$53=1),$AK$58,HLOOKUP(INDIRECT(ADDRESS(2,COLUMN())),OFFSET($BM$2,0,0,ROW()-1,59),ROW()-1,FALSE))</f>
        <v>5442.3196989999997</v>
      </c>
      <c r="AL6">
        <f ca="1">IF(AND(ISNUMBER($AL$58),$B$53=1),$AL$58,HLOOKUP(INDIRECT(ADDRESS(2,COLUMN())),OFFSET($BM$2,0,0,ROW()-1,59),ROW()-1,FALSE))</f>
        <v>5354.1416440000003</v>
      </c>
      <c r="AM6">
        <f ca="1">IF(AND(ISNUMBER($AM$58),$B$53=1),$AM$58,HLOOKUP(INDIRECT(ADDRESS(2,COLUMN())),OFFSET($BM$2,0,0,ROW()-1,59),ROW()-1,FALSE))</f>
        <v>5075.002493</v>
      </c>
      <c r="AN6">
        <f ca="1">IF(AND(ISNUMBER($AN$58),$B$53=1),$AN$58,HLOOKUP(INDIRECT(ADDRESS(2,COLUMN())),OFFSET($BM$2,0,0,ROW()-1,59),ROW()-1,FALSE))</f>
        <v>5152.930539</v>
      </c>
      <c r="AO6">
        <f ca="1">IF(AND(ISNUMBER($AO$58),$B$53=1),$AO$58,HLOOKUP(INDIRECT(ADDRESS(2,COLUMN())),OFFSET($BM$2,0,0,ROW()-1,59),ROW()-1,FALSE))</f>
        <v>4536.4065300000002</v>
      </c>
      <c r="AP6">
        <f ca="1">IF(AND(ISNUMBER($AP$58),$B$53=1),$AP$58,HLOOKUP(INDIRECT(ADDRESS(2,COLUMN())),OFFSET($BM$2,0,0,ROW()-1,59),ROW()-1,FALSE))</f>
        <v>4428.340682</v>
      </c>
      <c r="AQ6">
        <f ca="1">IF(AND(ISNUMBER($AQ$58),$B$53=1),$AQ$58,HLOOKUP(INDIRECT(ADDRESS(2,COLUMN())),OFFSET($BM$2,0,0,ROW()-1,59),ROW()-1,FALSE))</f>
        <v>3912.5210980000002</v>
      </c>
      <c r="AR6">
        <f ca="1">IF(AND(ISNUMBER($AR$58),$B$53=1),$AR$58,HLOOKUP(INDIRECT(ADDRESS(2,COLUMN())),OFFSET($BM$2,0,0,ROW()-1,59),ROW()-1,FALSE))</f>
        <v>4084.4443900000001</v>
      </c>
      <c r="AS6">
        <f ca="1">IF(AND(ISNUMBER($AS$58),$B$53=1),$AS$58,HLOOKUP(INDIRECT(ADDRESS(2,COLUMN())),OFFSET($BM$2,0,0,ROW()-1,59),ROW()-1,FALSE))</f>
        <v>3476.690662</v>
      </c>
      <c r="AT6">
        <f ca="1">IF(AND(ISNUMBER($AT$58),$B$53=1),$AT$58,HLOOKUP(INDIRECT(ADDRESS(2,COLUMN())),OFFSET($BM$2,0,0,ROW()-1,59),ROW()-1,FALSE))</f>
        <v>4791.4283589999995</v>
      </c>
      <c r="AU6">
        <f ca="1">IF(AND(ISNUMBER($AU$58),$B$53=1),$AU$58,HLOOKUP(INDIRECT(ADDRESS(2,COLUMN())),OFFSET($BM$2,0,0,ROW()-1,59),ROW()-1,FALSE))</f>
        <v>4630.3343329999998</v>
      </c>
      <c r="AV6">
        <f ca="1">IF(AND(ISNUMBER($AV$58),$B$53=1),$AV$58,HLOOKUP(INDIRECT(ADDRESS(2,COLUMN())),OFFSET($BM$2,0,0,ROW()-1,59),ROW()-1,FALSE))</f>
        <v>4765.9046619999999</v>
      </c>
      <c r="AW6">
        <f ca="1">IF(AND(ISNUMBER($AW$58),$B$53=1),$AW$58,HLOOKUP(INDIRECT(ADDRESS(2,COLUMN())),OFFSET($BM$2,0,0,ROW()-1,59),ROW()-1,FALSE))</f>
        <v>4432.8719090000004</v>
      </c>
      <c r="AX6">
        <f ca="1">IF(AND(ISNUMBER($AX$58),$B$53=1),$AX$58,HLOOKUP(INDIRECT(ADDRESS(2,COLUMN())),OFFSET($BM$2,0,0,ROW()-1,59),ROW()-1,FALSE))</f>
        <v>4592.3880179999996</v>
      </c>
      <c r="AY6">
        <f ca="1">IF(AND(ISNUMBER($AY$58),$B$53=1),$AY$58,HLOOKUP(INDIRECT(ADDRESS(2,COLUMN())),OFFSET($BM$2,0,0,ROW()-1,59),ROW()-1,FALSE))</f>
        <v>4416.6142680000003</v>
      </c>
      <c r="AZ6">
        <f ca="1">IF(AND(ISNUMBER($AZ$58),$B$53=1),$AZ$58,HLOOKUP(INDIRECT(ADDRESS(2,COLUMN())),OFFSET($BM$2,0,0,ROW()-1,59),ROW()-1,FALSE))</f>
        <v>4743.3881359999996</v>
      </c>
      <c r="BA6">
        <f ca="1">IF(AND(ISNUMBER($BA$58),$B$53=1),$BA$58,HLOOKUP(INDIRECT(ADDRESS(2,COLUMN())),OFFSET($BM$2,0,0,ROW()-1,59),ROW()-1,FALSE))</f>
        <v>4348.0197930000004</v>
      </c>
      <c r="BB6">
        <f ca="1">IF(AND(ISNUMBER($BB$58),$B$53=1),$BB$58,HLOOKUP(INDIRECT(ADDRESS(2,COLUMN())),OFFSET($BM$2,0,0,ROW()-1,59),ROW()-1,FALSE))</f>
        <v>5800.2251690000003</v>
      </c>
      <c r="BC6">
        <f ca="1">IF(AND(ISNUMBER($BC$58),$B$53=1),$BC$58,HLOOKUP(INDIRECT(ADDRESS(2,COLUMN())),OFFSET($BM$2,0,0,ROW()-1,59),ROW()-1,FALSE))</f>
        <v>4423.5553410000002</v>
      </c>
      <c r="BD6">
        <f ca="1">IF(AND(ISNUMBER($BD$58),$B$53=1),$BD$58,HLOOKUP(INDIRECT(ADDRESS(2,COLUMN())),OFFSET($BM$2,0,0,ROW()-1,59),ROW()-1,FALSE))</f>
        <v>4387.2763420000001</v>
      </c>
      <c r="BE6">
        <f ca="1">IF(AND(ISNUMBER($BE$58),$B$53=1),$BE$58,HLOOKUP(INDIRECT(ADDRESS(2,COLUMN())),OFFSET($BM$2,0,0,ROW()-1,59),ROW()-1,FALSE))</f>
        <v>4389.0687509999998</v>
      </c>
      <c r="BF6" t="str">
        <f ca="1">IF(AND(ISNUMBER($BF$58),$B$53=1),$BF$58,HLOOKUP(INDIRECT(ADDRESS(2,COLUMN())),OFFSET($BM$2,0,0,ROW()-1,59),ROW()-1,FALSE))</f>
        <v/>
      </c>
      <c r="BG6" t="str">
        <f ca="1">IF(AND(ISNUMBER($BG$58),$B$53=1),$BG$58,HLOOKUP(INDIRECT(ADDRESS(2,COLUMN())),OFFSET($BM$2,0,0,ROW()-1,59),ROW()-1,FALSE))</f>
        <v/>
      </c>
      <c r="BH6">
        <f ca="1">IF(AND(ISNUMBER($BH$58),$B$53=1),$BH$58,HLOOKUP(INDIRECT(ADDRESS(2,COLUMN())),OFFSET($BM$2,0,0,ROW()-1,59),ROW()-1,FALSE))</f>
        <v>4151.590897</v>
      </c>
      <c r="BI6">
        <f ca="1">IF(AND(ISNUMBER($BI$58),$B$53=1),$BI$58,HLOOKUP(INDIRECT(ADDRESS(2,COLUMN())),OFFSET($BM$2,0,0,ROW()-1,59),ROW()-1,FALSE))</f>
        <v>3525.3735350000002</v>
      </c>
      <c r="BJ6" t="str">
        <f ca="1">IF(AND(ISNUMBER($BJ$58),$B$53=1),$BJ$58,HLOOKUP(INDIRECT(ADDRESS(2,COLUMN())),OFFSET($BM$2,0,0,ROW()-1,59),ROW()-1,FALSE))</f>
        <v/>
      </c>
      <c r="BK6" t="str">
        <f ca="1">IF(AND(ISNUMBER($BK$58),$B$53=1),$BK$58,HLOOKUP(INDIRECT(ADDRESS(2,COLUMN())),OFFSET($BM$2,0,0,ROW()-1,59),ROW()-1,FALSE))</f>
        <v/>
      </c>
      <c r="BL6" t="str">
        <f ca="1">IF(AND(ISNUMBER($BL$58),$B$53=1),$BL$58,HLOOKUP(INDIRECT(ADDRESS(2,COLUMN())),OFFSET($BM$2,0,0,ROW()-1,59),ROW()-1,FALSE))</f>
        <v/>
      </c>
      <c r="BM6" t="str">
        <f>""</f>
        <v/>
      </c>
      <c r="BN6">
        <f>11237.9794</f>
        <v>11237.9794</v>
      </c>
      <c r="BO6">
        <f>10723.74974</f>
        <v>10723.749739999999</v>
      </c>
      <c r="BP6">
        <f>10735.00995</f>
        <v>10735.00995</v>
      </c>
      <c r="BQ6">
        <f>12158.96394</f>
        <v>12158.96394</v>
      </c>
      <c r="BR6">
        <f>10984.37239</f>
        <v>10984.37239</v>
      </c>
      <c r="BS6">
        <f>10895.87281</f>
        <v>10895.872810000001</v>
      </c>
      <c r="BT6">
        <f>9000.80935</f>
        <v>9000.8093499999995</v>
      </c>
      <c r="BU6">
        <f>10568.4586</f>
        <v>10568.4586</v>
      </c>
      <c r="BV6">
        <f>9605.953959</f>
        <v>9605.9539590000004</v>
      </c>
      <c r="BW6">
        <f>10111.81905</f>
        <v>10111.81905</v>
      </c>
      <c r="BX6">
        <f>8929.06947</f>
        <v>8929.0694700000004</v>
      </c>
      <c r="BY6">
        <f>9652.737569</f>
        <v>9652.7375690000008</v>
      </c>
      <c r="BZ6">
        <f>10181.18275</f>
        <v>10181.18275</v>
      </c>
      <c r="CA6">
        <f>10782.89223</f>
        <v>10782.892229999999</v>
      </c>
      <c r="CB6">
        <f>8642.355759</f>
        <v>8642.355759</v>
      </c>
      <c r="CC6">
        <f>9926.138511</f>
        <v>9926.1385109999992</v>
      </c>
      <c r="CD6">
        <f>8965.615037</f>
        <v>8965.6150369999996</v>
      </c>
      <c r="CE6">
        <f>9524.687662</f>
        <v>9524.6876620000003</v>
      </c>
      <c r="CF6">
        <f>8170.305237</f>
        <v>8170.3052369999996</v>
      </c>
      <c r="CG6">
        <f>9672.305891</f>
        <v>9672.305891</v>
      </c>
      <c r="CH6">
        <f>8573.24855</f>
        <v>8573.2485500000003</v>
      </c>
      <c r="CI6">
        <f>9540.675828</f>
        <v>9540.6758279999995</v>
      </c>
      <c r="CJ6">
        <f>8652.874977</f>
        <v>8652.8749769999995</v>
      </c>
      <c r="CK6">
        <f>8839.982598</f>
        <v>8839.9825980000005</v>
      </c>
      <c r="CL6">
        <f>8648.175231</f>
        <v>8648.1752309999993</v>
      </c>
      <c r="CM6">
        <f>7769.80022</f>
        <v>7769.8002200000001</v>
      </c>
      <c r="CN6">
        <f>6905.482065</f>
        <v>6905.4820650000001</v>
      </c>
      <c r="CO6">
        <f>6667.431522</f>
        <v>6667.4315219999999</v>
      </c>
      <c r="CP6">
        <f>6156.614941</f>
        <v>6156.6149409999998</v>
      </c>
      <c r="CQ6">
        <f>6148.467864</f>
        <v>6148.4678640000002</v>
      </c>
      <c r="CR6">
        <f>5442.319699</f>
        <v>5442.3196989999997</v>
      </c>
      <c r="CS6">
        <f>5354.141644</f>
        <v>5354.1416440000003</v>
      </c>
      <c r="CT6">
        <f>5075.002493</f>
        <v>5075.002493</v>
      </c>
      <c r="CU6">
        <f>5152.930539</f>
        <v>5152.930539</v>
      </c>
      <c r="CV6">
        <f>4536.40653</f>
        <v>4536.4065300000002</v>
      </c>
      <c r="CW6">
        <f>4428.340682</f>
        <v>4428.340682</v>
      </c>
      <c r="CX6">
        <f>3912.521098</f>
        <v>3912.5210980000002</v>
      </c>
      <c r="CY6">
        <f>4084.44439</f>
        <v>4084.4443900000001</v>
      </c>
      <c r="CZ6">
        <f>3476.690662</f>
        <v>3476.690662</v>
      </c>
      <c r="DA6">
        <f>4791.428359</f>
        <v>4791.4283589999995</v>
      </c>
      <c r="DB6">
        <f>4630.334333</f>
        <v>4630.3343329999998</v>
      </c>
      <c r="DC6">
        <f>4765.904662</f>
        <v>4765.9046619999999</v>
      </c>
      <c r="DD6">
        <f>4432.871909</f>
        <v>4432.8719090000004</v>
      </c>
      <c r="DE6">
        <f>4592.388018</f>
        <v>4592.3880179999996</v>
      </c>
      <c r="DF6">
        <f>4416.614268</f>
        <v>4416.6142680000003</v>
      </c>
      <c r="DG6">
        <f>4743.388136</f>
        <v>4743.3881359999996</v>
      </c>
      <c r="DH6">
        <f>4348.019793</f>
        <v>4348.0197930000004</v>
      </c>
      <c r="DI6">
        <f>5800.225169</f>
        <v>5800.2251690000003</v>
      </c>
      <c r="DJ6">
        <f>4423.555341</f>
        <v>4423.5553410000002</v>
      </c>
      <c r="DK6">
        <f>4387.276342</f>
        <v>4387.2763420000001</v>
      </c>
      <c r="DL6">
        <f>4389.068751</f>
        <v>4389.0687509999998</v>
      </c>
      <c r="DM6" t="str">
        <f>""</f>
        <v/>
      </c>
      <c r="DN6" t="str">
        <f>""</f>
        <v/>
      </c>
      <c r="DO6">
        <f>4151.590897</f>
        <v>4151.590897</v>
      </c>
      <c r="DP6">
        <f>3525.373535</f>
        <v>3525.3735350000002</v>
      </c>
      <c r="DQ6" t="str">
        <f>""</f>
        <v/>
      </c>
      <c r="DR6" t="str">
        <f>""</f>
        <v/>
      </c>
      <c r="DS6" t="str">
        <f>""</f>
        <v/>
      </c>
    </row>
    <row r="7" spans="1:123" x14ac:dyDescent="0.25">
      <c r="A7" t="str">
        <f>"By Geography ($M) - GM"</f>
        <v>By Geography ($M) - GM</v>
      </c>
      <c r="B7" t="str">
        <f>"GM US Equity"</f>
        <v>GM US Equity</v>
      </c>
      <c r="C7" t="str">
        <f>"IS010"</f>
        <v>IS010</v>
      </c>
      <c r="D7" t="str">
        <f>"SALES_REV_TURN"</f>
        <v>SALES_REV_TURN</v>
      </c>
      <c r="E7" t="str">
        <f t="shared" si="0"/>
        <v>Dynamic</v>
      </c>
      <c r="F7">
        <f ca="1">IF(AND(ISNUMBER($F$59),$B$53=1),$F$59,HLOOKUP(INDIRECT(ADDRESS(2,COLUMN())),OFFSET($BM$2,0,0,ROW()-1,59),ROW()-1,FALSE))</f>
        <v>38399</v>
      </c>
      <c r="G7">
        <f ca="1">IF(AND(ISNUMBER($G$59),$B$53=1),$G$59,HLOOKUP(INDIRECT(ADDRESS(2,COLUMN())),OFFSET($BM$2,0,0,ROW()-1,59),ROW()-1,FALSE))</f>
        <v>35791</v>
      </c>
      <c r="H7">
        <f ca="1">IF(AND(ISNUMBER($H$59),$B$53=1),$H$59,HLOOKUP(INDIRECT(ADDRESS(2,COLUMN())),OFFSET($BM$2,0,0,ROW()-1,59),ROW()-1,FALSE))</f>
        <v>36760</v>
      </c>
      <c r="I7">
        <f ca="1">IF(AND(ISNUMBER($I$59),$B$53=1),$I$59,HLOOKUP(INDIRECT(ADDRESS(2,COLUMN())),OFFSET($BM$2,0,0,ROW()-1,59),ROW()-1,FALSE))</f>
        <v>36099</v>
      </c>
      <c r="J7">
        <f ca="1">IF(AND(ISNUMBER($J$59),$B$53=1),$J$59,HLOOKUP(INDIRECT(ADDRESS(2,COLUMN())),OFFSET($BM$2,0,0,ROW()-1,59),ROW()-1,FALSE))</f>
        <v>37715</v>
      </c>
      <c r="K7">
        <f ca="1">IF(AND(ISNUMBER($K$59),$B$53=1),$K$59,HLOOKUP(INDIRECT(ADDRESS(2,COLUMN())),OFFSET($BM$2,0,0,ROW()-1,59),ROW()-1,FALSE))</f>
        <v>33623</v>
      </c>
      <c r="L7">
        <f ca="1">IF(AND(ISNUMBER($L$59),$B$53=1),$L$59,HLOOKUP(INDIRECT(ADDRESS(2,COLUMN())),OFFSET($BM$2,0,0,ROW()-1,59),ROW()-1,FALSE))</f>
        <v>36984</v>
      </c>
      <c r="M7">
        <f ca="1">IF(AND(ISNUMBER($M$59),$B$53=1),$M$59,HLOOKUP(INDIRECT(ADDRESS(2,COLUMN())),OFFSET($BM$2,0,0,ROW()-1,59),ROW()-1,FALSE))</f>
        <v>37266</v>
      </c>
      <c r="N7">
        <f ca="1">IF(AND(ISNUMBER($N$59),$B$53=1),$N$59,HLOOKUP(INDIRECT(ADDRESS(2,COLUMN())),OFFSET($BM$2,0,0,ROW()-1,59),ROW()-1,FALSE))</f>
        <v>39896</v>
      </c>
      <c r="O7">
        <f ca="1">IF(AND(ISNUMBER($O$59),$B$53=1),$O$59,HLOOKUP(INDIRECT(ADDRESS(2,COLUMN())),OFFSET($BM$2,0,0,ROW()-1,59),ROW()-1,FALSE))</f>
        <v>38889</v>
      </c>
      <c r="P7">
        <f ca="1">IF(AND(ISNUMBER($P$59),$B$53=1),$P$59,HLOOKUP(INDIRECT(ADDRESS(2,COLUMN())),OFFSET($BM$2,0,0,ROW()-1,59),ROW()-1,FALSE))</f>
        <v>37383</v>
      </c>
      <c r="Q7">
        <f ca="1">IF(AND(ISNUMBER($Q$59),$B$53=1),$Q$59,HLOOKUP(INDIRECT(ADDRESS(2,COLUMN())),OFFSET($BM$2,0,0,ROW()-1,59),ROW()-1,FALSE))</f>
        <v>37265</v>
      </c>
      <c r="R7">
        <f ca="1">IF(AND(ISNUMBER($R$59),$B$53=1),$R$59,HLOOKUP(INDIRECT(ADDRESS(2,COLUMN())),OFFSET($BM$2,0,0,ROW()-1,59),ROW()-1,FALSE))</f>
        <v>39621</v>
      </c>
      <c r="S7">
        <f ca="1">IF(AND(ISNUMBER($S$59),$B$53=1),$S$59,HLOOKUP(INDIRECT(ADDRESS(2,COLUMN())),OFFSET($BM$2,0,0,ROW()-1,59),ROW()-1,FALSE))</f>
        <v>38843</v>
      </c>
      <c r="T7">
        <f ca="1">IF(AND(ISNUMBER($T$59),$B$53=1),$T$59,HLOOKUP(INDIRECT(ADDRESS(2,COLUMN())),OFFSET($BM$2,0,0,ROW()-1,59),ROW()-1,FALSE))</f>
        <v>38180</v>
      </c>
      <c r="U7">
        <f ca="1">IF(AND(ISNUMBER($U$59),$B$53=1),$U$59,HLOOKUP(INDIRECT(ADDRESS(2,COLUMN())),OFFSET($BM$2,0,0,ROW()-1,59),ROW()-1,FALSE))</f>
        <v>35712</v>
      </c>
      <c r="V7">
        <f ca="1">IF(AND(ISNUMBER($V$59),$B$53=1),$V$59,HLOOKUP(INDIRECT(ADDRESS(2,COLUMN())),OFFSET($BM$2,0,0,ROW()-1,59),ROW()-1,FALSE))</f>
        <v>39617</v>
      </c>
      <c r="W7">
        <f ca="1">IF(AND(ISNUMBER($W$59),$B$53=1),$W$59,HLOOKUP(INDIRECT(ADDRESS(2,COLUMN())),OFFSET($BM$2,0,0,ROW()-1,59),ROW()-1,FALSE))</f>
        <v>39255</v>
      </c>
      <c r="X7">
        <f ca="1">IF(AND(ISNUMBER($X$59),$B$53=1),$X$59,HLOOKUP(INDIRECT(ADDRESS(2,COLUMN())),OFFSET($BM$2,0,0,ROW()-1,59),ROW()-1,FALSE))</f>
        <v>39649</v>
      </c>
      <c r="Y7">
        <f ca="1">IF(AND(ISNUMBER($Y$59),$B$53=1),$Y$59,HLOOKUP(INDIRECT(ADDRESS(2,COLUMN())),OFFSET($BM$2,0,0,ROW()-1,59),ROW()-1,FALSE))</f>
        <v>37408</v>
      </c>
      <c r="Z7">
        <f ca="1">IF(AND(ISNUMBER($Z$59),$B$53=1),$Z$59,HLOOKUP(INDIRECT(ADDRESS(2,COLUMN())),OFFSET($BM$2,0,0,ROW()-1,59),ROW()-1,FALSE))</f>
        <v>40485</v>
      </c>
      <c r="AA7">
        <f ca="1">IF(AND(ISNUMBER($AA$59),$B$53=1),$AA$59,HLOOKUP(INDIRECT(ADDRESS(2,COLUMN())),OFFSET($BM$2,0,0,ROW()-1,59),ROW()-1,FALSE))</f>
        <v>38983</v>
      </c>
      <c r="AB7">
        <f ca="1">IF(AND(ISNUMBER($AB$59),$B$53=1),$AB$59,HLOOKUP(INDIRECT(ADDRESS(2,COLUMN())),OFFSET($BM$2,0,0,ROW()-1,59),ROW()-1,FALSE))</f>
        <v>39075</v>
      </c>
      <c r="AC7">
        <f ca="1">IF(AND(ISNUMBER($AC$59),$B$53=1),$AC$59,HLOOKUP(INDIRECT(ADDRESS(2,COLUMN())),OFFSET($BM$2,0,0,ROW()-1,59),ROW()-1,FALSE))</f>
        <v>36884</v>
      </c>
      <c r="AD7">
        <f ca="1">IF(AND(ISNUMBER($AD$59),$B$53=1),$AD$59,HLOOKUP(INDIRECT(ADDRESS(2,COLUMN())),OFFSET($BM$2,0,0,ROW()-1,59),ROW()-1,FALSE))</f>
        <v>39307</v>
      </c>
      <c r="AE7">
        <f ca="1">IF(AND(ISNUMBER($AE$59),$B$53=1),$AE$59,HLOOKUP(INDIRECT(ADDRESS(2,COLUMN())),OFFSET($BM$2,0,0,ROW()-1,59),ROW()-1,FALSE))</f>
        <v>37576</v>
      </c>
      <c r="AF7">
        <f ca="1">IF(AND(ISNUMBER($AF$59),$B$53=1),$AF$59,HLOOKUP(INDIRECT(ADDRESS(2,COLUMN())),OFFSET($BM$2,0,0,ROW()-1,59),ROW()-1,FALSE))</f>
        <v>37614</v>
      </c>
      <c r="AG7">
        <f ca="1">IF(AND(ISNUMBER($AG$59),$B$53=1),$AG$59,HLOOKUP(INDIRECT(ADDRESS(2,COLUMN())),OFFSET($BM$2,0,0,ROW()-1,59),ROW()-1,FALSE))</f>
        <v>37759</v>
      </c>
      <c r="AH7">
        <f ca="1">IF(AND(ISNUMBER($AH$59),$B$53=1),$AH$59,HLOOKUP(INDIRECT(ADDRESS(2,COLUMN())),OFFSET($BM$2,0,0,ROW()-1,59),ROW()-1,FALSE))</f>
        <v>37990</v>
      </c>
      <c r="AI7">
        <f ca="1">IF(AND(ISNUMBER($AI$59),$B$53=1),$AI$59,HLOOKUP(INDIRECT(ADDRESS(2,COLUMN())),OFFSET($BM$2,0,0,ROW()-1,59),ROW()-1,FALSE))</f>
        <v>36719</v>
      </c>
      <c r="AJ7">
        <f ca="1">IF(AND(ISNUMBER($AJ$59),$B$53=1),$AJ$59,HLOOKUP(INDIRECT(ADDRESS(2,COLUMN())),OFFSET($BM$2,0,0,ROW()-1,59),ROW()-1,FALSE))</f>
        <v>39373</v>
      </c>
      <c r="AK7">
        <f ca="1">IF(AND(ISNUMBER($AK$59),$B$53=1),$AK$59,HLOOKUP(INDIRECT(ADDRESS(2,COLUMN())),OFFSET($BM$2,0,0,ROW()-1,59),ROW()-1,FALSE))</f>
        <v>36194</v>
      </c>
      <c r="AL7">
        <f ca="1">IF(AND(ISNUMBER($AL$59),$B$53=1),$AL$59,HLOOKUP(INDIRECT(ADDRESS(2,COLUMN())),OFFSET($BM$2,0,0,ROW()-1,59),ROW()-1,FALSE))</f>
        <v>36882</v>
      </c>
      <c r="AM7">
        <f ca="1">IF(AND(ISNUMBER($AM$59),$B$53=1),$AM$59,HLOOKUP(INDIRECT(ADDRESS(2,COLUMN())),OFFSET($BM$2,0,0,ROW()-1,59),ROW()-1,FALSE))</f>
        <v>34060</v>
      </c>
      <c r="AN7">
        <f ca="1">IF(AND(ISNUMBER($AN$59),$B$53=1),$AN$59,HLOOKUP(INDIRECT(ADDRESS(2,COLUMN())),OFFSET($BM$2,0,0,ROW()-1,59),ROW()-1,FALSE))</f>
        <v>33174</v>
      </c>
      <c r="AO7">
        <f ca="1">IF(AND(ISNUMBER($AO$59),$B$53=1),$AO$59,HLOOKUP(INDIRECT(ADDRESS(2,COLUMN())),OFFSET($BM$2,0,0,ROW()-1,59),ROW()-1,FALSE))</f>
        <v>31476</v>
      </c>
      <c r="AP7">
        <f ca="1">IF(AND(ISNUMBER($AP$59),$B$53=1),$AP$59,HLOOKUP(INDIRECT(ADDRESS(2,COLUMN())),OFFSET($BM$2,0,0,ROW()-1,59),ROW()-1,FALSE))</f>
        <v>32327</v>
      </c>
      <c r="AQ7">
        <f ca="1">IF(AND(ISNUMBER($AQ$59),$B$53=1),$AQ$59,HLOOKUP(INDIRECT(ADDRESS(2,COLUMN())),OFFSET($BM$2,0,0,ROW()-1,59),ROW()-1,FALSE))</f>
        <v>26784</v>
      </c>
      <c r="AR7">
        <f ca="1">IF(AND(ISNUMBER($AR$59),$B$53=1),$AR$59,HLOOKUP(INDIRECT(ADDRESS(2,COLUMN())),OFFSET($BM$2,0,0,ROW()-1,59),ROW()-1,FALSE))</f>
        <v>23047</v>
      </c>
      <c r="AS7">
        <f ca="1">IF(AND(ISNUMBER($AS$59),$B$53=1),$AS$59,HLOOKUP(INDIRECT(ADDRESS(2,COLUMN())),OFFSET($BM$2,0,0,ROW()-1,59),ROW()-1,FALSE))</f>
        <v>22431</v>
      </c>
      <c r="AT7" t="str">
        <f ca="1">IF(AND(ISNUMBER($AT$59),$B$53=1),$AT$59,HLOOKUP(INDIRECT(ADDRESS(2,COLUMN())),OFFSET($BM$2,0,0,ROW()-1,59),ROW()-1,FALSE))</f>
        <v/>
      </c>
      <c r="AU7" t="str">
        <f ca="1">IF(AND(ISNUMBER($AU$59),$B$53=1),$AU$59,HLOOKUP(INDIRECT(ADDRESS(2,COLUMN())),OFFSET($BM$2,0,0,ROW()-1,59),ROW()-1,FALSE))</f>
        <v/>
      </c>
      <c r="AV7" t="str">
        <f ca="1">IF(AND(ISNUMBER($AV$59),$B$53=1),$AV$59,HLOOKUP(INDIRECT(ADDRESS(2,COLUMN())),OFFSET($BM$2,0,0,ROW()-1,59),ROW()-1,FALSE))</f>
        <v/>
      </c>
      <c r="AW7" t="str">
        <f ca="1">IF(AND(ISNUMBER($AW$59),$B$53=1),$AW$59,HLOOKUP(INDIRECT(ADDRESS(2,COLUMN())),OFFSET($BM$2,0,0,ROW()-1,59),ROW()-1,FALSE))</f>
        <v/>
      </c>
      <c r="AX7" t="str">
        <f ca="1">IF(AND(ISNUMBER($AX$59),$B$53=1),$AX$59,HLOOKUP(INDIRECT(ADDRESS(2,COLUMN())),OFFSET($BM$2,0,0,ROW()-1,59),ROW()-1,FALSE))</f>
        <v/>
      </c>
      <c r="AY7" t="str">
        <f ca="1">IF(AND(ISNUMBER($AY$59),$B$53=1),$AY$59,HLOOKUP(INDIRECT(ADDRESS(2,COLUMN())),OFFSET($BM$2,0,0,ROW()-1,59),ROW()-1,FALSE))</f>
        <v/>
      </c>
      <c r="AZ7" t="str">
        <f ca="1">IF(AND(ISNUMBER($AZ$59),$B$53=1),$AZ$59,HLOOKUP(INDIRECT(ADDRESS(2,COLUMN())),OFFSET($BM$2,0,0,ROW()-1,59),ROW()-1,FALSE))</f>
        <v/>
      </c>
      <c r="BA7" t="str">
        <f ca="1">IF(AND(ISNUMBER($BA$59),$B$53=1),$BA$59,HLOOKUP(INDIRECT(ADDRESS(2,COLUMN())),OFFSET($BM$2,0,0,ROW()-1,59),ROW()-1,FALSE))</f>
        <v/>
      </c>
      <c r="BB7" t="str">
        <f ca="1">IF(AND(ISNUMBER($BB$59),$B$53=1),$BB$59,HLOOKUP(INDIRECT(ADDRESS(2,COLUMN())),OFFSET($BM$2,0,0,ROW()-1,59),ROW()-1,FALSE))</f>
        <v/>
      </c>
      <c r="BC7" t="str">
        <f ca="1">IF(AND(ISNUMBER($BC$59),$B$53=1),$BC$59,HLOOKUP(INDIRECT(ADDRESS(2,COLUMN())),OFFSET($BM$2,0,0,ROW()-1,59),ROW()-1,FALSE))</f>
        <v/>
      </c>
      <c r="BD7" t="str">
        <f ca="1">IF(AND(ISNUMBER($BD$59),$B$53=1),$BD$59,HLOOKUP(INDIRECT(ADDRESS(2,COLUMN())),OFFSET($BM$2,0,0,ROW()-1,59),ROW()-1,FALSE))</f>
        <v/>
      </c>
      <c r="BE7" t="str">
        <f ca="1">IF(AND(ISNUMBER($BE$59),$B$53=1),$BE$59,HLOOKUP(INDIRECT(ADDRESS(2,COLUMN())),OFFSET($BM$2,0,0,ROW()-1,59),ROW()-1,FALSE))</f>
        <v/>
      </c>
      <c r="BF7" t="str">
        <f ca="1">IF(AND(ISNUMBER($BF$59),$B$53=1),$BF$59,HLOOKUP(INDIRECT(ADDRESS(2,COLUMN())),OFFSET($BM$2,0,0,ROW()-1,59),ROW()-1,FALSE))</f>
        <v/>
      </c>
      <c r="BG7" t="str">
        <f ca="1">IF(AND(ISNUMBER($BG$59),$B$53=1),$BG$59,HLOOKUP(INDIRECT(ADDRESS(2,COLUMN())),OFFSET($BM$2,0,0,ROW()-1,59),ROW()-1,FALSE))</f>
        <v/>
      </c>
      <c r="BH7" t="str">
        <f ca="1">IF(AND(ISNUMBER($BH$59),$B$53=1),$BH$59,HLOOKUP(INDIRECT(ADDRESS(2,COLUMN())),OFFSET($BM$2,0,0,ROW()-1,59),ROW()-1,FALSE))</f>
        <v/>
      </c>
      <c r="BI7" t="str">
        <f ca="1">IF(AND(ISNUMBER($BI$59),$B$53=1),$BI$59,HLOOKUP(INDIRECT(ADDRESS(2,COLUMN())),OFFSET($BM$2,0,0,ROW()-1,59),ROW()-1,FALSE))</f>
        <v/>
      </c>
      <c r="BJ7" t="str">
        <f ca="1">IF(AND(ISNUMBER($BJ$59),$B$53=1),$BJ$59,HLOOKUP(INDIRECT(ADDRESS(2,COLUMN())),OFFSET($BM$2,0,0,ROW()-1,59),ROW()-1,FALSE))</f>
        <v/>
      </c>
      <c r="BK7" t="str">
        <f ca="1">IF(AND(ISNUMBER($BK$59),$B$53=1),$BK$59,HLOOKUP(INDIRECT(ADDRESS(2,COLUMN())),OFFSET($BM$2,0,0,ROW()-1,59),ROW()-1,FALSE))</f>
        <v/>
      </c>
      <c r="BL7" t="str">
        <f ca="1">IF(AND(ISNUMBER($BL$59),$B$53=1),$BL$59,HLOOKUP(INDIRECT(ADDRESS(2,COLUMN())),OFFSET($BM$2,0,0,ROW()-1,59),ROW()-1,FALSE))</f>
        <v/>
      </c>
      <c r="BM7">
        <f>38399</f>
        <v>38399</v>
      </c>
      <c r="BN7">
        <f>35791</f>
        <v>35791</v>
      </c>
      <c r="BO7">
        <f>36760</f>
        <v>36760</v>
      </c>
      <c r="BP7">
        <f>36099</f>
        <v>36099</v>
      </c>
      <c r="BQ7">
        <f>37715</f>
        <v>37715</v>
      </c>
      <c r="BR7">
        <f>33623</f>
        <v>33623</v>
      </c>
      <c r="BS7">
        <f>36984</f>
        <v>36984</v>
      </c>
      <c r="BT7">
        <f>37266</f>
        <v>37266</v>
      </c>
      <c r="BU7">
        <f>39896</f>
        <v>39896</v>
      </c>
      <c r="BV7">
        <f>38889</f>
        <v>38889</v>
      </c>
      <c r="BW7">
        <f>37383</f>
        <v>37383</v>
      </c>
      <c r="BX7">
        <f>37265</f>
        <v>37265</v>
      </c>
      <c r="BY7">
        <f>39621</f>
        <v>39621</v>
      </c>
      <c r="BZ7">
        <f>38843</f>
        <v>38843</v>
      </c>
      <c r="CA7">
        <f>38180</f>
        <v>38180</v>
      </c>
      <c r="CB7">
        <f>35712</f>
        <v>35712</v>
      </c>
      <c r="CC7">
        <f>39617</f>
        <v>39617</v>
      </c>
      <c r="CD7">
        <f>39255</f>
        <v>39255</v>
      </c>
      <c r="CE7">
        <f>39649</f>
        <v>39649</v>
      </c>
      <c r="CF7">
        <f>37408</f>
        <v>37408</v>
      </c>
      <c r="CG7">
        <f>40485</f>
        <v>40485</v>
      </c>
      <c r="CH7">
        <f>38983</f>
        <v>38983</v>
      </c>
      <c r="CI7">
        <f>39075</f>
        <v>39075</v>
      </c>
      <c r="CJ7">
        <f>36884</f>
        <v>36884</v>
      </c>
      <c r="CK7">
        <f>39307</f>
        <v>39307</v>
      </c>
      <c r="CL7">
        <f>37576</f>
        <v>37576</v>
      </c>
      <c r="CM7">
        <f>37614</f>
        <v>37614</v>
      </c>
      <c r="CN7">
        <f>37759</f>
        <v>37759</v>
      </c>
      <c r="CO7">
        <f>37990</f>
        <v>37990</v>
      </c>
      <c r="CP7">
        <f>36719</f>
        <v>36719</v>
      </c>
      <c r="CQ7">
        <f>39373</f>
        <v>39373</v>
      </c>
      <c r="CR7">
        <f>36194</f>
        <v>36194</v>
      </c>
      <c r="CS7">
        <f>36882</f>
        <v>36882</v>
      </c>
      <c r="CT7">
        <f>34060</f>
        <v>34060</v>
      </c>
      <c r="CU7">
        <f>33174</f>
        <v>33174</v>
      </c>
      <c r="CV7">
        <f>31476</f>
        <v>31476</v>
      </c>
      <c r="CW7">
        <f>32327</f>
        <v>32327</v>
      </c>
      <c r="CX7">
        <f>26784</f>
        <v>26784</v>
      </c>
      <c r="CY7">
        <f>23047</f>
        <v>23047</v>
      </c>
      <c r="CZ7">
        <f>22431</f>
        <v>22431</v>
      </c>
      <c r="DA7" t="str">
        <f>""</f>
        <v/>
      </c>
      <c r="DB7" t="str">
        <f>""</f>
        <v/>
      </c>
      <c r="DC7" t="str">
        <f>""</f>
        <v/>
      </c>
      <c r="DD7" t="str">
        <f>""</f>
        <v/>
      </c>
      <c r="DE7" t="str">
        <f>""</f>
        <v/>
      </c>
      <c r="DF7" t="str">
        <f>""</f>
        <v/>
      </c>
      <c r="DG7" t="str">
        <f>""</f>
        <v/>
      </c>
      <c r="DH7" t="str">
        <f>""</f>
        <v/>
      </c>
      <c r="DI7" t="str">
        <f>""</f>
        <v/>
      </c>
      <c r="DJ7" t="str">
        <f>""</f>
        <v/>
      </c>
      <c r="DK7" t="str">
        <f>""</f>
        <v/>
      </c>
      <c r="DL7" t="str">
        <f>""</f>
        <v/>
      </c>
      <c r="DM7" t="str">
        <f>""</f>
        <v/>
      </c>
      <c r="DN7" t="str">
        <f>""</f>
        <v/>
      </c>
      <c r="DO7" t="str">
        <f>""</f>
        <v/>
      </c>
      <c r="DP7" t="str">
        <f>""</f>
        <v/>
      </c>
      <c r="DQ7" t="str">
        <f>""</f>
        <v/>
      </c>
      <c r="DR7" t="str">
        <f>""</f>
        <v/>
      </c>
      <c r="DS7" t="str">
        <f>""</f>
        <v/>
      </c>
    </row>
    <row r="8" spans="1:123" x14ac:dyDescent="0.25">
      <c r="A8" t="str">
        <f>"        GMNA(North America)"</f>
        <v xml:space="preserve">        GMNA(North America)</v>
      </c>
      <c r="B8" t="str">
        <f>"GM US Equity"</f>
        <v>GM US Equity</v>
      </c>
      <c r="C8" t="str">
        <f>"BI047"</f>
        <v>BI047</v>
      </c>
      <c r="D8" t="str">
        <f>"BICS_SEGMENT_DATA"</f>
        <v>BICS_SEGMENT_DATA</v>
      </c>
      <c r="E8" t="str">
        <f t="shared" si="0"/>
        <v>Dynamic</v>
      </c>
      <c r="F8">
        <f ca="1">IF(AND(ISNUMBER($F$60),$B$53=1),$F$60,HLOOKUP(INDIRECT(ADDRESS(2,COLUMN())),OFFSET($BM$2,0,0,ROW()-1,59),ROW()-1,FALSE))</f>
        <v>29823</v>
      </c>
      <c r="G8">
        <f ca="1">IF(AND(ISNUMBER($G$60),$B$53=1),$G$60,HLOOKUP(INDIRECT(ADDRESS(2,COLUMN())),OFFSET($BM$2,0,0,ROW()-1,59),ROW()-1,FALSE))</f>
        <v>27650</v>
      </c>
      <c r="H8">
        <f ca="1">IF(AND(ISNUMBER($H$60),$B$53=1),$H$60,HLOOKUP(INDIRECT(ADDRESS(2,COLUMN())),OFFSET($BM$2,0,0,ROW()-1,59),ROW()-1,FALSE))</f>
        <v>28501</v>
      </c>
      <c r="I8">
        <f ca="1">IF(AND(ISNUMBER($I$60),$B$53=1),$I$60,HLOOKUP(INDIRECT(ADDRESS(2,COLUMN())),OFFSET($BM$2,0,0,ROW()-1,59),ROW()-1,FALSE))</f>
        <v>27818</v>
      </c>
      <c r="J8">
        <f ca="1">IF(AND(ISNUMBER($J$60),$B$53=1),$J$60,HLOOKUP(INDIRECT(ADDRESS(2,COLUMN())),OFFSET($BM$2,0,0,ROW()-1,59),ROW()-1,FALSE))</f>
        <v>28751</v>
      </c>
      <c r="K8">
        <f ca="1">IF(AND(ISNUMBER($K$60),$B$53=1),$K$60,HLOOKUP(INDIRECT(ADDRESS(2,COLUMN())),OFFSET($BM$2,0,0,ROW()-1,59),ROW()-1,FALSE))</f>
        <v>24819</v>
      </c>
      <c r="L8">
        <f ca="1">IF(AND(ISNUMBER($L$60),$B$53=1),$L$60,HLOOKUP(INDIRECT(ADDRESS(2,COLUMN())),OFFSET($BM$2,0,0,ROW()-1,59),ROW()-1,FALSE))</f>
        <v>28437</v>
      </c>
      <c r="M8">
        <f ca="1">IF(AND(ISNUMBER($M$60),$B$53=1),$M$60,HLOOKUP(INDIRECT(ADDRESS(2,COLUMN())),OFFSET($BM$2,0,0,ROW()-1,59),ROW()-1,FALSE))</f>
        <v>29338</v>
      </c>
      <c r="N8">
        <f ca="1">IF(AND(ISNUMBER($N$60),$B$53=1),$N$60,HLOOKUP(INDIRECT(ADDRESS(2,COLUMN())),OFFSET($BM$2,0,0,ROW()-1,59),ROW()-1,FALSE))</f>
        <v>31298</v>
      </c>
      <c r="O8">
        <f ca="1">IF(AND(ISNUMBER($O$60),$B$53=1),$O$60,HLOOKUP(INDIRECT(ADDRESS(2,COLUMN())),OFFSET($BM$2,0,0,ROW()-1,59),ROW()-1,FALSE))</f>
        <v>31078</v>
      </c>
      <c r="P8">
        <f ca="1">IF(AND(ISNUMBER($P$60),$B$53=1),$P$60,HLOOKUP(INDIRECT(ADDRESS(2,COLUMN())),OFFSET($BM$2,0,0,ROW()-1,59),ROW()-1,FALSE))</f>
        <v>30222</v>
      </c>
      <c r="Q8">
        <f ca="1">IF(AND(ISNUMBER($Q$60),$B$53=1),$Q$60,HLOOKUP(INDIRECT(ADDRESS(2,COLUMN())),OFFSET($BM$2,0,0,ROW()-1,59),ROW()-1,FALSE))</f>
        <v>26463</v>
      </c>
      <c r="R8">
        <f ca="1">IF(AND(ISNUMBER($R$60),$B$53=1),$R$60,HLOOKUP(INDIRECT(ADDRESS(2,COLUMN())),OFFSET($BM$2,0,0,ROW()-1,59),ROW()-1,FALSE))</f>
        <v>27671</v>
      </c>
      <c r="S8">
        <f ca="1">IF(AND(ISNUMBER($S$60),$B$53=1),$S$60,HLOOKUP(INDIRECT(ADDRESS(2,COLUMN())),OFFSET($BM$2,0,0,ROW()-1,59),ROW()-1,FALSE))</f>
        <v>27794</v>
      </c>
      <c r="T8">
        <f ca="1">IF(AND(ISNUMBER($T$60),$B$53=1),$T$60,HLOOKUP(INDIRECT(ADDRESS(2,COLUMN())),OFFSET($BM$2,0,0,ROW()-1,59),ROW()-1,FALSE))</f>
        <v>26481</v>
      </c>
      <c r="U8">
        <f ca="1">IF(AND(ISNUMBER($U$60),$B$53=1),$U$60,HLOOKUP(INDIRECT(ADDRESS(2,COLUMN())),OFFSET($BM$2,0,0,ROW()-1,59),ROW()-1,FALSE))</f>
        <v>24676</v>
      </c>
      <c r="V8">
        <f ca="1">IF(AND(ISNUMBER($V$60),$B$53=1),$V$60,HLOOKUP(INDIRECT(ADDRESS(2,COLUMN())),OFFSET($BM$2,0,0,ROW()-1,59),ROW()-1,FALSE))</f>
        <v>25308</v>
      </c>
      <c r="W8">
        <f ca="1">IF(AND(ISNUMBER($W$60),$B$53=1),$W$60,HLOOKUP(INDIRECT(ADDRESS(2,COLUMN())),OFFSET($BM$2,0,0,ROW()-1,59),ROW()-1,FALSE))</f>
        <v>25816</v>
      </c>
      <c r="X8">
        <f ca="1">IF(AND(ISNUMBER($X$60),$B$53=1),$X$60,HLOOKUP(INDIRECT(ADDRESS(2,COLUMN())),OFFSET($BM$2,0,0,ROW()-1,59),ROW()-1,FALSE))</f>
        <v>25671</v>
      </c>
      <c r="Y8">
        <f ca="1">IF(AND(ISNUMBER($Y$60),$B$53=1),$Y$60,HLOOKUP(INDIRECT(ADDRESS(2,COLUMN())),OFFSET($BM$2,0,0,ROW()-1,59),ROW()-1,FALSE))</f>
        <v>24404</v>
      </c>
      <c r="Z8">
        <f ca="1">IF(AND(ISNUMBER($Z$60),$B$53=1),$Z$60,HLOOKUP(INDIRECT(ADDRESS(2,COLUMN())),OFFSET($BM$2,0,0,ROW()-1,59),ROW()-1,FALSE))</f>
        <v>25125</v>
      </c>
      <c r="AA8">
        <f ca="1">IF(AND(ISNUMBER($AA$60),$B$53=1),$AA$60,HLOOKUP(INDIRECT(ADDRESS(2,COLUMN())),OFFSET($BM$2,0,0,ROW()-1,59),ROW()-1,FALSE))</f>
        <v>23506</v>
      </c>
      <c r="AB8">
        <f ca="1">IF(AND(ISNUMBER($AB$60),$B$53=1),$AB$60,HLOOKUP(INDIRECT(ADDRESS(2,COLUMN())),OFFSET($BM$2,0,0,ROW()-1,59),ROW()-1,FALSE))</f>
        <v>23489</v>
      </c>
      <c r="AC8">
        <f ca="1">IF(AND(ISNUMBER($AC$60),$B$53=1),$AC$60,HLOOKUP(INDIRECT(ADDRESS(2,COLUMN())),OFFSET($BM$2,0,0,ROW()-1,59),ROW()-1,FALSE))</f>
        <v>22979</v>
      </c>
      <c r="AD8">
        <f ca="1">IF(AND(ISNUMBER($AD$60),$B$53=1),$AD$60,HLOOKUP(INDIRECT(ADDRESS(2,COLUMN())),OFFSET($BM$2,0,0,ROW()-1,59),ROW()-1,FALSE))</f>
        <v>22836</v>
      </c>
      <c r="AE8">
        <f ca="1">IF(AND(ISNUMBER($AE$60),$B$53=1),$AE$60,HLOOKUP(INDIRECT(ADDRESS(2,COLUMN())),OFFSET($BM$2,0,0,ROW()-1,59),ROW()-1,FALSE))</f>
        <v>22347</v>
      </c>
      <c r="AF8">
        <f ca="1">IF(AND(ISNUMBER($AF$60),$B$53=1),$AF$60,HLOOKUP(INDIRECT(ADDRESS(2,COLUMN())),OFFSET($BM$2,0,0,ROW()-1,59),ROW()-1,FALSE))</f>
        <v>21553</v>
      </c>
      <c r="AG8">
        <f ca="1">IF(AND(ISNUMBER($AG$60),$B$53=1),$AG$60,HLOOKUP(INDIRECT(ADDRESS(2,COLUMN())),OFFSET($BM$2,0,0,ROW()-1,59),ROW()-1,FALSE))</f>
        <v>23175</v>
      </c>
      <c r="AH8">
        <f ca="1">IF(AND(ISNUMBER($AH$60),$B$53=1),$AH$60,HLOOKUP(INDIRECT(ADDRESS(2,COLUMN())),OFFSET($BM$2,0,0,ROW()-1,59),ROW()-1,FALSE))</f>
        <v>25639</v>
      </c>
      <c r="AI8">
        <f ca="1">IF(AND(ISNUMBER($AI$60),$B$53=1),$AI$60,HLOOKUP(INDIRECT(ADDRESS(2,COLUMN())),OFFSET($BM$2,0,0,ROW()-1,59),ROW()-1,FALSE))</f>
        <v>21002</v>
      </c>
      <c r="AJ8">
        <f ca="1">IF(AND(ISNUMBER($AJ$60),$B$53=1),$AJ$60,HLOOKUP(INDIRECT(ADDRESS(2,COLUMN())),OFFSET($BM$2,0,0,ROW()-1,59),ROW()-1,FALSE))</f>
        <v>22097</v>
      </c>
      <c r="AK8">
        <f ca="1">IF(AND(ISNUMBER($AK$60),$B$53=1),$AK$60,HLOOKUP(INDIRECT(ADDRESS(2,COLUMN())),OFFSET($BM$2,0,0,ROW()-1,59),ROW()-1,FALSE))</f>
        <v>21283</v>
      </c>
      <c r="AL8">
        <f ca="1">IF(AND(ISNUMBER($AL$60),$B$53=1),$AL$60,HLOOKUP(INDIRECT(ADDRESS(2,COLUMN())),OFFSET($BM$2,0,0,ROW()-1,59),ROW()-1,FALSE))</f>
        <v>24290</v>
      </c>
      <c r="AM8">
        <f ca="1">IF(AND(ISNUMBER($AM$60),$B$53=1),$AM$60,HLOOKUP(INDIRECT(ADDRESS(2,COLUMN())),OFFSET($BM$2,0,0,ROW()-1,59),ROW()-1,FALSE))</f>
        <v>20676</v>
      </c>
      <c r="AN8">
        <f ca="1">IF(AND(ISNUMBER($AN$60),$B$53=1),$AN$60,HLOOKUP(INDIRECT(ADDRESS(2,COLUMN())),OFFSET($BM$2,0,0,ROW()-1,59),ROW()-1,FALSE))</f>
        <v>19457</v>
      </c>
      <c r="AO8">
        <f ca="1">IF(AND(ISNUMBER($AO$60),$B$53=1),$AO$60,HLOOKUP(INDIRECT(ADDRESS(2,COLUMN())),OFFSET($BM$2,0,0,ROW()-1,59),ROW()-1,FALSE))</f>
        <v>18508</v>
      </c>
      <c r="AP8">
        <f ca="1">IF(AND(ISNUMBER($AP$60),$B$53=1),$AP$60,HLOOKUP(INDIRECT(ADDRESS(2,COLUMN())),OFFSET($BM$2,0,0,ROW()-1,59),ROW()-1,FALSE))</f>
        <v>17668</v>
      </c>
      <c r="AQ8">
        <f ca="1">IF(AND(ISNUMBER($AQ$60),$B$53=1),$AQ$60,HLOOKUP(INDIRECT(ADDRESS(2,COLUMN())),OFFSET($BM$2,0,0,ROW()-1,59),ROW()-1,FALSE))</f>
        <v>14372</v>
      </c>
      <c r="AR8">
        <f ca="1">IF(AND(ISNUMBER($AR$60),$B$53=1),$AR$60,HLOOKUP(INDIRECT(ADDRESS(2,COLUMN())),OFFSET($BM$2,0,0,ROW()-1,59),ROW()-1,FALSE))</f>
        <v>11177</v>
      </c>
      <c r="AS8">
        <f ca="1">IF(AND(ISNUMBER($AS$60),$B$53=1),$AS$60,HLOOKUP(INDIRECT(ADDRESS(2,COLUMN())),OFFSET($BM$2,0,0,ROW()-1,59),ROW()-1,FALSE))</f>
        <v>11812</v>
      </c>
      <c r="AT8" t="str">
        <f ca="1">IF(AND(ISNUMBER($AT$60),$B$53=1),$AT$60,HLOOKUP(INDIRECT(ADDRESS(2,COLUMN())),OFFSET($BM$2,0,0,ROW()-1,59),ROW()-1,FALSE))</f>
        <v/>
      </c>
      <c r="AU8" t="str">
        <f ca="1">IF(AND(ISNUMBER($AU$60),$B$53=1),$AU$60,HLOOKUP(INDIRECT(ADDRESS(2,COLUMN())),OFFSET($BM$2,0,0,ROW()-1,59),ROW()-1,FALSE))</f>
        <v/>
      </c>
      <c r="AV8" t="str">
        <f ca="1">IF(AND(ISNUMBER($AV$60),$B$53=1),$AV$60,HLOOKUP(INDIRECT(ADDRESS(2,COLUMN())),OFFSET($BM$2,0,0,ROW()-1,59),ROW()-1,FALSE))</f>
        <v/>
      </c>
      <c r="AW8" t="str">
        <f ca="1">IF(AND(ISNUMBER($AW$60),$B$53=1),$AW$60,HLOOKUP(INDIRECT(ADDRESS(2,COLUMN())),OFFSET($BM$2,0,0,ROW()-1,59),ROW()-1,FALSE))</f>
        <v/>
      </c>
      <c r="AX8" t="str">
        <f ca="1">IF(AND(ISNUMBER($AX$60),$B$53=1),$AX$60,HLOOKUP(INDIRECT(ADDRESS(2,COLUMN())),OFFSET($BM$2,0,0,ROW()-1,59),ROW()-1,FALSE))</f>
        <v/>
      </c>
      <c r="AY8" t="str">
        <f ca="1">IF(AND(ISNUMBER($AY$60),$B$53=1),$AY$60,HLOOKUP(INDIRECT(ADDRESS(2,COLUMN())),OFFSET($BM$2,0,0,ROW()-1,59),ROW()-1,FALSE))</f>
        <v/>
      </c>
      <c r="AZ8" t="str">
        <f ca="1">IF(AND(ISNUMBER($AZ$60),$B$53=1),$AZ$60,HLOOKUP(INDIRECT(ADDRESS(2,COLUMN())),OFFSET($BM$2,0,0,ROW()-1,59),ROW()-1,FALSE))</f>
        <v/>
      </c>
      <c r="BA8" t="str">
        <f ca="1">IF(AND(ISNUMBER($BA$60),$B$53=1),$BA$60,HLOOKUP(INDIRECT(ADDRESS(2,COLUMN())),OFFSET($BM$2,0,0,ROW()-1,59),ROW()-1,FALSE))</f>
        <v/>
      </c>
      <c r="BB8" t="str">
        <f ca="1">IF(AND(ISNUMBER($BB$60),$B$53=1),$BB$60,HLOOKUP(INDIRECT(ADDRESS(2,COLUMN())),OFFSET($BM$2,0,0,ROW()-1,59),ROW()-1,FALSE))</f>
        <v/>
      </c>
      <c r="BC8" t="str">
        <f ca="1">IF(AND(ISNUMBER($BC$60),$B$53=1),$BC$60,HLOOKUP(INDIRECT(ADDRESS(2,COLUMN())),OFFSET($BM$2,0,0,ROW()-1,59),ROW()-1,FALSE))</f>
        <v/>
      </c>
      <c r="BD8" t="str">
        <f ca="1">IF(AND(ISNUMBER($BD$60),$B$53=1),$BD$60,HLOOKUP(INDIRECT(ADDRESS(2,COLUMN())),OFFSET($BM$2,0,0,ROW()-1,59),ROW()-1,FALSE))</f>
        <v/>
      </c>
      <c r="BE8" t="str">
        <f ca="1">IF(AND(ISNUMBER($BE$60),$B$53=1),$BE$60,HLOOKUP(INDIRECT(ADDRESS(2,COLUMN())),OFFSET($BM$2,0,0,ROW()-1,59),ROW()-1,FALSE))</f>
        <v/>
      </c>
      <c r="BF8" t="str">
        <f ca="1">IF(AND(ISNUMBER($BF$60),$B$53=1),$BF$60,HLOOKUP(INDIRECT(ADDRESS(2,COLUMN())),OFFSET($BM$2,0,0,ROW()-1,59),ROW()-1,FALSE))</f>
        <v/>
      </c>
      <c r="BG8" t="str">
        <f ca="1">IF(AND(ISNUMBER($BG$60),$B$53=1),$BG$60,HLOOKUP(INDIRECT(ADDRESS(2,COLUMN())),OFFSET($BM$2,0,0,ROW()-1,59),ROW()-1,FALSE))</f>
        <v/>
      </c>
      <c r="BH8" t="str">
        <f ca="1">IF(AND(ISNUMBER($BH$60),$B$53=1),$BH$60,HLOOKUP(INDIRECT(ADDRESS(2,COLUMN())),OFFSET($BM$2,0,0,ROW()-1,59),ROW()-1,FALSE))</f>
        <v/>
      </c>
      <c r="BI8" t="str">
        <f ca="1">IF(AND(ISNUMBER($BI$60),$B$53=1),$BI$60,HLOOKUP(INDIRECT(ADDRESS(2,COLUMN())),OFFSET($BM$2,0,0,ROW()-1,59),ROW()-1,FALSE))</f>
        <v/>
      </c>
      <c r="BJ8" t="str">
        <f ca="1">IF(AND(ISNUMBER($BJ$60),$B$53=1),$BJ$60,HLOOKUP(INDIRECT(ADDRESS(2,COLUMN())),OFFSET($BM$2,0,0,ROW()-1,59),ROW()-1,FALSE))</f>
        <v/>
      </c>
      <c r="BK8" t="str">
        <f ca="1">IF(AND(ISNUMBER($BK$60),$B$53=1),$BK$60,HLOOKUP(INDIRECT(ADDRESS(2,COLUMN())),OFFSET($BM$2,0,0,ROW()-1,59),ROW()-1,FALSE))</f>
        <v/>
      </c>
      <c r="BL8" t="str">
        <f ca="1">IF(AND(ISNUMBER($BL$60),$B$53=1),$BL$60,HLOOKUP(INDIRECT(ADDRESS(2,COLUMN())),OFFSET($BM$2,0,0,ROW()-1,59),ROW()-1,FALSE))</f>
        <v/>
      </c>
      <c r="BM8">
        <f>29823</f>
        <v>29823</v>
      </c>
      <c r="BN8">
        <f>27650</f>
        <v>27650</v>
      </c>
      <c r="BO8">
        <f>28501</f>
        <v>28501</v>
      </c>
      <c r="BP8">
        <f>27818</f>
        <v>27818</v>
      </c>
      <c r="BQ8">
        <f>28751</f>
        <v>28751</v>
      </c>
      <c r="BR8">
        <f>24819</f>
        <v>24819</v>
      </c>
      <c r="BS8">
        <f>28437</f>
        <v>28437</v>
      </c>
      <c r="BT8">
        <f>29338</f>
        <v>29338</v>
      </c>
      <c r="BU8">
        <f>31298</f>
        <v>31298</v>
      </c>
      <c r="BV8">
        <f>31078</f>
        <v>31078</v>
      </c>
      <c r="BW8">
        <f>30222</f>
        <v>30222</v>
      </c>
      <c r="BX8">
        <f>26463</f>
        <v>26463</v>
      </c>
      <c r="BY8">
        <f>27671</f>
        <v>27671</v>
      </c>
      <c r="BZ8">
        <f>27794</f>
        <v>27794</v>
      </c>
      <c r="CA8">
        <f>26481</f>
        <v>26481</v>
      </c>
      <c r="CB8">
        <f>24676</f>
        <v>24676</v>
      </c>
      <c r="CC8">
        <f>25308</f>
        <v>25308</v>
      </c>
      <c r="CD8">
        <f>25816</f>
        <v>25816</v>
      </c>
      <c r="CE8">
        <f>25671</f>
        <v>25671</v>
      </c>
      <c r="CF8">
        <f>24404</f>
        <v>24404</v>
      </c>
      <c r="CG8">
        <f>25125</f>
        <v>25125</v>
      </c>
      <c r="CH8">
        <f>23506</f>
        <v>23506</v>
      </c>
      <c r="CI8">
        <f>23489</f>
        <v>23489</v>
      </c>
      <c r="CJ8">
        <f>22979</f>
        <v>22979</v>
      </c>
      <c r="CK8">
        <f>22836</f>
        <v>22836</v>
      </c>
      <c r="CL8">
        <f>22347</f>
        <v>22347</v>
      </c>
      <c r="CM8">
        <f>21553</f>
        <v>21553</v>
      </c>
      <c r="CN8">
        <f>23175</f>
        <v>23175</v>
      </c>
      <c r="CO8">
        <f>25639</f>
        <v>25639</v>
      </c>
      <c r="CP8">
        <f>21002</f>
        <v>21002</v>
      </c>
      <c r="CQ8">
        <f>22097</f>
        <v>22097</v>
      </c>
      <c r="CR8">
        <f>21283</f>
        <v>21283</v>
      </c>
      <c r="CS8">
        <f>24290</f>
        <v>24290</v>
      </c>
      <c r="CT8">
        <f>20676</f>
        <v>20676</v>
      </c>
      <c r="CU8">
        <f>19457</f>
        <v>19457</v>
      </c>
      <c r="CV8">
        <f>18508</f>
        <v>18508</v>
      </c>
      <c r="CW8">
        <f>17668</f>
        <v>17668</v>
      </c>
      <c r="CX8">
        <f>14372</f>
        <v>14372</v>
      </c>
      <c r="CY8">
        <f>11177</f>
        <v>11177</v>
      </c>
      <c r="CZ8">
        <f>11812</f>
        <v>11812</v>
      </c>
      <c r="DA8" t="str">
        <f>""</f>
        <v/>
      </c>
      <c r="DB8" t="str">
        <f>""</f>
        <v/>
      </c>
      <c r="DC8" t="str">
        <f>""</f>
        <v/>
      </c>
      <c r="DD8" t="str">
        <f>""</f>
        <v/>
      </c>
      <c r="DE8" t="str">
        <f>""</f>
        <v/>
      </c>
      <c r="DF8" t="str">
        <f>""</f>
        <v/>
      </c>
      <c r="DG8" t="str">
        <f>""</f>
        <v/>
      </c>
      <c r="DH8" t="str">
        <f>""</f>
        <v/>
      </c>
      <c r="DI8" t="str">
        <f>""</f>
        <v/>
      </c>
      <c r="DJ8" t="str">
        <f>""</f>
        <v/>
      </c>
      <c r="DK8" t="str">
        <f>""</f>
        <v/>
      </c>
      <c r="DL8" t="str">
        <f>""</f>
        <v/>
      </c>
      <c r="DM8" t="str">
        <f>""</f>
        <v/>
      </c>
      <c r="DN8" t="str">
        <f>""</f>
        <v/>
      </c>
      <c r="DO8" t="str">
        <f>""</f>
        <v/>
      </c>
      <c r="DP8" t="str">
        <f>""</f>
        <v/>
      </c>
      <c r="DQ8" t="str">
        <f>""</f>
        <v/>
      </c>
      <c r="DR8" t="str">
        <f>""</f>
        <v/>
      </c>
      <c r="DS8" t="str">
        <f>""</f>
        <v/>
      </c>
    </row>
    <row r="9" spans="1:123" x14ac:dyDescent="0.25">
      <c r="A9" t="str">
        <f>"By Geography ($M) - Daimler AG"</f>
        <v>By Geography ($M) - Daimler AG</v>
      </c>
      <c r="B9" t="str">
        <f>"DAI GR Equity"</f>
        <v>DAI GR Equity</v>
      </c>
      <c r="C9" t="str">
        <f>"IS010"</f>
        <v>IS010</v>
      </c>
      <c r="D9" t="str">
        <f>"SALES_REV_TURN"</f>
        <v>SALES_REV_TURN</v>
      </c>
      <c r="E9" t="str">
        <f t="shared" si="0"/>
        <v>Dynamic</v>
      </c>
      <c r="F9">
        <f ca="1">IF(AND(ISNUMBER($F$61),$B$53=1),$F$61,HLOOKUP(INDIRECT(ADDRESS(2,COLUMN())),OFFSET($BM$2,0,0,ROW()-1,59),ROW()-1,FALSE))</f>
        <v>53186.094019999997</v>
      </c>
      <c r="G9">
        <f ca="1">IF(AND(ISNUMBER($G$61),$B$53=1),$G$61,HLOOKUP(INDIRECT(ADDRESS(2,COLUMN())),OFFSET($BM$2,0,0,ROW()-1,59),ROW()-1,FALSE))</f>
        <v>46760.181040000003</v>
      </c>
      <c r="H9">
        <f ca="1">IF(AND(ISNUMBER($H$61),$B$53=1),$H$61,HLOOKUP(INDIRECT(ADDRESS(2,COLUMN())),OFFSET($BM$2,0,0,ROW()-1,59),ROW()-1,FALSE))</f>
        <v>48588.898780000003</v>
      </c>
      <c r="I9">
        <f ca="1">IF(AND(ISNUMBER($I$61),$B$53=1),$I$61,HLOOKUP(INDIRECT(ADDRESS(2,COLUMN())),OFFSET($BM$2,0,0,ROW()-1,59),ROW()-1,FALSE))</f>
        <v>48894.375590000003</v>
      </c>
      <c r="J9">
        <f ca="1">IF(AND(ISNUMBER($J$61),$B$53=1),$J$61,HLOOKUP(INDIRECT(ADDRESS(2,COLUMN())),OFFSET($BM$2,0,0,ROW()-1,59),ROW()-1,FALSE))</f>
        <v>51364.673970000003</v>
      </c>
      <c r="K9">
        <f ca="1">IF(AND(ISNUMBER($K$61),$B$53=1),$K$61,HLOOKUP(INDIRECT(ADDRESS(2,COLUMN())),OFFSET($BM$2,0,0,ROW()-1,59),ROW()-1,FALSE))</f>
        <v>47872.312859999998</v>
      </c>
      <c r="L9">
        <f ca="1">IF(AND(ISNUMBER($L$61),$B$53=1),$L$61,HLOOKUP(INDIRECT(ADDRESS(2,COLUMN())),OFFSET($BM$2,0,0,ROW()-1,59),ROW()-1,FALSE))</f>
        <v>45378.183299999997</v>
      </c>
      <c r="M9">
        <f ca="1">IF(AND(ISNUMBER($M$61),$B$53=1),$M$61,HLOOKUP(INDIRECT(ADDRESS(2,COLUMN())),OFFSET($BM$2,0,0,ROW()-1,59),ROW()-1,FALSE))</f>
        <v>41096.949860000001</v>
      </c>
      <c r="N9">
        <f ca="1">IF(AND(ISNUMBER($N$61),$B$53=1),$N$61,HLOOKUP(INDIRECT(ADDRESS(2,COLUMN())),OFFSET($BM$2,0,0,ROW()-1,59),ROW()-1,FALSE))</f>
        <v>44198.018279999997</v>
      </c>
      <c r="O9">
        <f ca="1">IF(AND(ISNUMBER($O$61),$B$53=1),$O$61,HLOOKUP(INDIRECT(ADDRESS(2,COLUMN())),OFFSET($BM$2,0,0,ROW()-1,59),ROW()-1,FALSE))</f>
        <v>43081.687769999997</v>
      </c>
      <c r="P9">
        <f ca="1">IF(AND(ISNUMBER($P$61),$B$53=1),$P$61,HLOOKUP(INDIRECT(ADDRESS(2,COLUMN())),OFFSET($BM$2,0,0,ROW()-1,59),ROW()-1,FALSE))</f>
        <v>43619.080049999997</v>
      </c>
      <c r="Q9">
        <f ca="1">IF(AND(ISNUMBER($Q$61),$B$53=1),$Q$61,HLOOKUP(INDIRECT(ADDRESS(2,COLUMN())),OFFSET($BM$2,0,0,ROW()-1,59),ROW()-1,FALSE))</f>
        <v>38672.404560000003</v>
      </c>
      <c r="R9">
        <f ca="1">IF(AND(ISNUMBER($R$61),$B$53=1),$R$61,HLOOKUP(INDIRECT(ADDRESS(2,COLUMN())),OFFSET($BM$2,0,0,ROW()-1,59),ROW()-1,FALSE))</f>
        <v>44275.11623</v>
      </c>
      <c r="S9">
        <f ca="1">IF(AND(ISNUMBER($S$61),$B$53=1),$S$61,HLOOKUP(INDIRECT(ADDRESS(2,COLUMN())),OFFSET($BM$2,0,0,ROW()-1,59),ROW()-1,FALSE))</f>
        <v>41449.734420000001</v>
      </c>
      <c r="T9">
        <f ca="1">IF(AND(ISNUMBER($T$61),$B$53=1),$T$61,HLOOKUP(INDIRECT(ADDRESS(2,COLUMN())),OFFSET($BM$2,0,0,ROW()-1,59),ROW()-1,FALSE))</f>
        <v>41536.604070000001</v>
      </c>
      <c r="U9">
        <f ca="1">IF(AND(ISNUMBER($U$61),$B$53=1),$U$61,HLOOKUP(INDIRECT(ADDRESS(2,COLUMN())),OFFSET($BM$2,0,0,ROW()-1,59),ROW()-1,FALSE))</f>
        <v>38566.174630000001</v>
      </c>
      <c r="V9">
        <f ca="1">IF(AND(ISNUMBER($V$61),$B$53=1),$V$61,HLOOKUP(INDIRECT(ADDRESS(2,COLUMN())),OFFSET($BM$2,0,0,ROW()-1,59),ROW()-1,FALSE))</f>
        <v>44640.775650000003</v>
      </c>
      <c r="W9">
        <f ca="1">IF(AND(ISNUMBER($W$61),$B$53=1),$W$61,HLOOKUP(INDIRECT(ADDRESS(2,COLUMN())),OFFSET($BM$2,0,0,ROW()-1,59),ROW()-1,FALSE))</f>
        <v>43896.393389999997</v>
      </c>
      <c r="X9">
        <f ca="1">IF(AND(ISNUMBER($X$61),$B$53=1),$X$61,HLOOKUP(INDIRECT(ADDRESS(2,COLUMN())),OFFSET($BM$2,0,0,ROW()-1,59),ROW()-1,FALSE))</f>
        <v>43260.870790000001</v>
      </c>
      <c r="Y9">
        <f ca="1">IF(AND(ISNUMBER($Y$61),$B$53=1),$Y$61,HLOOKUP(INDIRECT(ADDRESS(2,COLUMN())),OFFSET($BM$2,0,0,ROW()-1,59),ROW()-1,FALSE))</f>
        <v>40367.776140000002</v>
      </c>
      <c r="Z9">
        <f ca="1">IF(AND(ISNUMBER($Z$61),$B$53=1),$Z$61,HLOOKUP(INDIRECT(ADDRESS(2,COLUMN())),OFFSET($BM$2,0,0,ROW()-1,59),ROW()-1,FALSE))</f>
        <v>43690.121579999999</v>
      </c>
      <c r="AA9">
        <f ca="1">IF(AND(ISNUMBER($AA$61),$B$53=1),$AA$61,HLOOKUP(INDIRECT(ADDRESS(2,COLUMN())),OFFSET($BM$2,0,0,ROW()-1,59),ROW()-1,FALSE))</f>
        <v>39871.16936</v>
      </c>
      <c r="AB9">
        <f ca="1">IF(AND(ISNUMBER($AB$61),$B$53=1),$AB$61,HLOOKUP(INDIRECT(ADDRESS(2,COLUMN())),OFFSET($BM$2,0,0,ROW()-1,59),ROW()-1,FALSE))</f>
        <v>38784.466959999998</v>
      </c>
      <c r="AC9">
        <f ca="1">IF(AND(ISNUMBER($AC$61),$B$53=1),$AC$61,HLOOKUP(INDIRECT(ADDRESS(2,COLUMN())),OFFSET($BM$2,0,0,ROW()-1,59),ROW()-1,FALSE))</f>
        <v>34460.992169999998</v>
      </c>
      <c r="AD9">
        <f ca="1">IF(AND(ISNUMBER($AD$61),$B$53=1),$AD$61,HLOOKUP(INDIRECT(ADDRESS(2,COLUMN())),OFFSET($BM$2,0,0,ROW()-1,59),ROW()-1,FALSE))</f>
        <v>38704.928950000001</v>
      </c>
      <c r="AE9">
        <f ca="1">IF(AND(ISNUMBER($AE$61),$B$53=1),$AE$61,HLOOKUP(INDIRECT(ADDRESS(2,COLUMN())),OFFSET($BM$2,0,0,ROW()-1,59),ROW()-1,FALSE))</f>
        <v>35743.62255</v>
      </c>
      <c r="AF9">
        <f ca="1">IF(AND(ISNUMBER($AF$61),$B$53=1),$AF$61,HLOOKUP(INDIRECT(ADDRESS(2,COLUMN())),OFFSET($BM$2,0,0,ROW()-1,59),ROW()-1,FALSE))</f>
        <v>37064.064339999997</v>
      </c>
      <c r="AG9">
        <f ca="1">IF(AND(ISNUMBER($AG$61),$B$53=1),$AG$61,HLOOKUP(INDIRECT(ADDRESS(2,COLUMN())),OFFSET($BM$2,0,0,ROW()-1,59),ROW()-1,FALSE))</f>
        <v>35427.15595</v>
      </c>
      <c r="AH9">
        <f ca="1">IF(AND(ISNUMBER($AH$61),$B$53=1),$AH$61,HLOOKUP(INDIRECT(ADDRESS(2,COLUMN())),OFFSET($BM$2,0,0,ROW()-1,59),ROW()-1,FALSE))</f>
        <v>39166.443939999997</v>
      </c>
      <c r="AI9">
        <f ca="1">IF(AND(ISNUMBER($AI$61),$B$53=1),$AI$61,HLOOKUP(INDIRECT(ADDRESS(2,COLUMN())),OFFSET($BM$2,0,0,ROW()-1,59),ROW()-1,FALSE))</f>
        <v>37305.583010000002</v>
      </c>
      <c r="AJ9">
        <f ca="1">IF(AND(ISNUMBER($AJ$61),$B$53=1),$AJ$61,HLOOKUP(INDIRECT(ADDRESS(2,COLUMN())),OFFSET($BM$2,0,0,ROW()-1,59),ROW()-1,FALSE))</f>
        <v>37915.79176</v>
      </c>
      <c r="AK9">
        <f ca="1">IF(AND(ISNUMBER($AK$61),$B$53=1),$AK$61,HLOOKUP(INDIRECT(ADDRESS(2,COLUMN())),OFFSET($BM$2,0,0,ROW()-1,59),ROW()-1,FALSE))</f>
        <v>33857.389649999997</v>
      </c>
      <c r="AL9">
        <f ca="1">IF(AND(ISNUMBER($AL$61),$B$53=1),$AL$61,HLOOKUP(INDIRECT(ADDRESS(2,COLUMN())),OFFSET($BM$2,0,0,ROW()-1,59),ROW()-1,FALSE))</f>
        <v>35833.651839999999</v>
      </c>
      <c r="AM9">
        <f ca="1">IF(AND(ISNUMBER($AM$61),$B$53=1),$AM$61,HLOOKUP(INDIRECT(ADDRESS(2,COLUMN())),OFFSET($BM$2,0,0,ROW()-1,59),ROW()-1,FALSE))</f>
        <v>32408.402320000001</v>
      </c>
      <c r="AN9">
        <f ca="1">IF(AND(ISNUMBER($AN$61),$B$53=1),$AN$61,HLOOKUP(INDIRECT(ADDRESS(2,COLUMN())),OFFSET($BM$2,0,0,ROW()-1,59),ROW()-1,FALSE))</f>
        <v>31968.032380000001</v>
      </c>
      <c r="AO9">
        <f ca="1">IF(AND(ISNUMBER($AO$61),$B$53=1),$AO$61,HLOOKUP(INDIRECT(ADDRESS(2,COLUMN())),OFFSET($BM$2,0,0,ROW()-1,59),ROW()-1,FALSE))</f>
        <v>29320.575089999998</v>
      </c>
      <c r="AP9">
        <f ca="1">IF(AND(ISNUMBER($AP$61),$B$53=1),$AP$61,HLOOKUP(INDIRECT(ADDRESS(2,COLUMN())),OFFSET($BM$2,0,0,ROW()-1,59),ROW()-1,FALSE))</f>
        <v>31475.169450000001</v>
      </c>
      <c r="AQ9">
        <f ca="1">IF(AND(ISNUMBER($AQ$61),$B$53=1),$AQ$61,HLOOKUP(INDIRECT(ADDRESS(2,COLUMN())),OFFSET($BM$2,0,0,ROW()-1,59),ROW()-1,FALSE))</f>
        <v>27623.686440000001</v>
      </c>
      <c r="AR9">
        <f ca="1">IF(AND(ISNUMBER($AR$61),$B$53=1),$AR$61,HLOOKUP(INDIRECT(ADDRESS(2,COLUMN())),OFFSET($BM$2,0,0,ROW()-1,59),ROW()-1,FALSE))</f>
        <v>26728.102559999999</v>
      </c>
      <c r="AS9">
        <f ca="1">IF(AND(ISNUMBER($AS$61),$B$53=1),$AS$61,HLOOKUP(INDIRECT(ADDRESS(2,COLUMN())),OFFSET($BM$2,0,0,ROW()-1,59),ROW()-1,FALSE))</f>
        <v>24377.29162</v>
      </c>
      <c r="AT9">
        <f ca="1">IF(AND(ISNUMBER($AT$61),$B$53=1),$AT$61,HLOOKUP(INDIRECT(ADDRESS(2,COLUMN())),OFFSET($BM$2,0,0,ROW()-1,59),ROW()-1,FALSE))</f>
        <v>30684.154050000001</v>
      </c>
      <c r="AU9">
        <f ca="1">IF(AND(ISNUMBER($AU$61),$B$53=1),$AU$61,HLOOKUP(INDIRECT(ADDRESS(2,COLUMN())),OFFSET($BM$2,0,0,ROW()-1,59),ROW()-1,FALSE))</f>
        <v>35773.842790000002</v>
      </c>
      <c r="AV9">
        <f ca="1">IF(AND(ISNUMBER($AV$61),$B$53=1),$AV$61,HLOOKUP(INDIRECT(ADDRESS(2,COLUMN())),OFFSET($BM$2,0,0,ROW()-1,59),ROW()-1,FALSE))</f>
        <v>39661.70233</v>
      </c>
      <c r="AW9">
        <f ca="1">IF(AND(ISNUMBER($AW$61),$B$53=1),$AW$61,HLOOKUP(INDIRECT(ADDRESS(2,COLUMN())),OFFSET($BM$2,0,0,ROW()-1,59),ROW()-1,FALSE))</f>
        <v>35161.653919999997</v>
      </c>
      <c r="AX9">
        <f ca="1">IF(AND(ISNUMBER($AX$61),$B$53=1),$AX$61,HLOOKUP(INDIRECT(ADDRESS(2,COLUMN())),OFFSET($BM$2,0,0,ROW()-1,59),ROW()-1,FALSE))</f>
        <v>21015.497490000002</v>
      </c>
      <c r="AY9">
        <f ca="1">IF(AND(ISNUMBER($AY$61),$B$53=1),$AY$61,HLOOKUP(INDIRECT(ADDRESS(2,COLUMN())),OFFSET($BM$2,0,0,ROW()-1,59),ROW()-1,FALSE))</f>
        <v>35301.298170000002</v>
      </c>
      <c r="AZ9">
        <f ca="1">IF(AND(ISNUMBER($AZ$61),$B$53=1),$AZ$61,HLOOKUP(INDIRECT(ADDRESS(2,COLUMN())),OFFSET($BM$2,0,0,ROW()-1,59),ROW()-1,FALSE))</f>
        <v>32149.33108</v>
      </c>
      <c r="BA9">
        <f ca="1">IF(AND(ISNUMBER($BA$61),$B$53=1),$BA$61,HLOOKUP(INDIRECT(ADDRESS(2,COLUMN())),OFFSET($BM$2,0,0,ROW()-1,59),ROW()-1,FALSE))</f>
        <v>30634.07373</v>
      </c>
      <c r="BB9">
        <f ca="1">IF(AND(ISNUMBER($BB$61),$B$53=1),$BB$61,HLOOKUP(INDIRECT(ADDRESS(2,COLUMN())),OFFSET($BM$2,0,0,ROW()-1,59),ROW()-1,FALSE))</f>
        <v>16692.544809999999</v>
      </c>
      <c r="BC9">
        <f ca="1">IF(AND(ISNUMBER($BC$61),$B$53=1),$BC$61,HLOOKUP(INDIRECT(ADDRESS(2,COLUMN())),OFFSET($BM$2,0,0,ROW()-1,59),ROW()-1,FALSE))</f>
        <v>30884.598139999998</v>
      </c>
      <c r="BD9">
        <f ca="1">IF(AND(ISNUMBER($BD$61),$B$53=1),$BD$61,HLOOKUP(INDIRECT(ADDRESS(2,COLUMN())),OFFSET($BM$2,0,0,ROW()-1,59),ROW()-1,FALSE))</f>
        <v>30953.763279999999</v>
      </c>
      <c r="BE9">
        <f ca="1">IF(AND(ISNUMBER($BE$61),$B$53=1),$BE$61,HLOOKUP(INDIRECT(ADDRESS(2,COLUMN())),OFFSET($BM$2,0,0,ROW()-1,59),ROW()-1,FALSE))</f>
        <v>45050.518179999999</v>
      </c>
      <c r="BF9">
        <f ca="1">IF(AND(ISNUMBER($BF$61),$B$53=1),$BF$61,HLOOKUP(INDIRECT(ADDRESS(2,COLUMN())),OFFSET($BM$2,0,0,ROW()-1,59),ROW()-1,FALSE))</f>
        <v>49275.763930000001</v>
      </c>
      <c r="BG9">
        <f ca="1">IF(AND(ISNUMBER($BG$61),$B$53=1),$BG$61,HLOOKUP(INDIRECT(ADDRESS(2,COLUMN())),OFFSET($BM$2,0,0,ROW()-1,59),ROW()-1,FALSE))</f>
        <v>46538.910880000003</v>
      </c>
      <c r="BH9">
        <f ca="1">IF(AND(ISNUMBER($BH$61),$B$53=1),$BH$61,HLOOKUP(INDIRECT(ADDRESS(2,COLUMN())),OFFSET($BM$2,0,0,ROW()-1,59),ROW()-1,FALSE))</f>
        <v>48367.670420000002</v>
      </c>
      <c r="BI9">
        <f ca="1">IF(AND(ISNUMBER($BI$61),$B$53=1),$BI$61,HLOOKUP(INDIRECT(ADDRESS(2,COLUMN())),OFFSET($BM$2,0,0,ROW()-1,59),ROW()-1,FALSE))</f>
        <v>41617.5</v>
      </c>
      <c r="BJ9">
        <f ca="1">IF(AND(ISNUMBER($BJ$61),$B$53=1),$BJ$61,HLOOKUP(INDIRECT(ADDRESS(2,COLUMN())),OFFSET($BM$2,0,0,ROW()-1,59),ROW()-1,FALSE))</f>
        <v>49002.903769999997</v>
      </c>
      <c r="BK9">
        <f ca="1">IF(AND(ISNUMBER($BK$61),$B$53=1),$BK$61,HLOOKUP(INDIRECT(ADDRESS(2,COLUMN())),OFFSET($BM$2,0,0,ROW()-1,59),ROW()-1,FALSE))</f>
        <v>42662.838089999997</v>
      </c>
      <c r="BL9">
        <f ca="1">IF(AND(ISNUMBER($BL$61),$B$53=1),$BL$61,HLOOKUP(INDIRECT(ADDRESS(2,COLUMN())),OFFSET($BM$2,0,0,ROW()-1,59),ROW()-1,FALSE))</f>
        <v>44673.442499999997</v>
      </c>
      <c r="BM9">
        <f>53186.09402</f>
        <v>53186.094019999997</v>
      </c>
      <c r="BN9">
        <f>46760.18104</f>
        <v>46760.181040000003</v>
      </c>
      <c r="BO9">
        <f>48588.89878</f>
        <v>48588.898780000003</v>
      </c>
      <c r="BP9">
        <f>48894.37559</f>
        <v>48894.375590000003</v>
      </c>
      <c r="BQ9">
        <f>51364.67397</f>
        <v>51364.673970000003</v>
      </c>
      <c r="BR9">
        <f>47872.31286</f>
        <v>47872.312859999998</v>
      </c>
      <c r="BS9">
        <f>45378.1833</f>
        <v>45378.183299999997</v>
      </c>
      <c r="BT9">
        <f>41096.94986</f>
        <v>41096.949860000001</v>
      </c>
      <c r="BU9">
        <f>44198.01828</f>
        <v>44198.018279999997</v>
      </c>
      <c r="BV9">
        <f>43081.68777</f>
        <v>43081.687769999997</v>
      </c>
      <c r="BW9">
        <f>43619.08005</f>
        <v>43619.080049999997</v>
      </c>
      <c r="BX9">
        <f>38672.40456</f>
        <v>38672.404560000003</v>
      </c>
      <c r="BY9">
        <f>44275.11623</f>
        <v>44275.11623</v>
      </c>
      <c r="BZ9">
        <f>41449.73442</f>
        <v>41449.734420000001</v>
      </c>
      <c r="CA9">
        <f>41536.60407</f>
        <v>41536.604070000001</v>
      </c>
      <c r="CB9">
        <f>38566.17463</f>
        <v>38566.174630000001</v>
      </c>
      <c r="CC9">
        <f>44640.77565</f>
        <v>44640.775650000003</v>
      </c>
      <c r="CD9">
        <f>43896.39339</f>
        <v>43896.393389999997</v>
      </c>
      <c r="CE9">
        <f>43260.87079</f>
        <v>43260.870790000001</v>
      </c>
      <c r="CF9">
        <f>40367.77614</f>
        <v>40367.776140000002</v>
      </c>
      <c r="CG9">
        <f>43690.12158</f>
        <v>43690.121579999999</v>
      </c>
      <c r="CH9">
        <f>39871.16936</f>
        <v>39871.16936</v>
      </c>
      <c r="CI9">
        <f>38784.46696</f>
        <v>38784.466959999998</v>
      </c>
      <c r="CJ9">
        <f>34460.99217</f>
        <v>34460.992169999998</v>
      </c>
      <c r="CK9">
        <f>38704.92895</f>
        <v>38704.928950000001</v>
      </c>
      <c r="CL9">
        <f>35743.62255</f>
        <v>35743.62255</v>
      </c>
      <c r="CM9">
        <f>37064.06434</f>
        <v>37064.064339999997</v>
      </c>
      <c r="CN9">
        <f>35427.15595</f>
        <v>35427.15595</v>
      </c>
      <c r="CO9">
        <f>39166.44394</f>
        <v>39166.443939999997</v>
      </c>
      <c r="CP9">
        <f>37305.58301</f>
        <v>37305.583010000002</v>
      </c>
      <c r="CQ9">
        <f>37915.79176</f>
        <v>37915.79176</v>
      </c>
      <c r="CR9">
        <f>33857.38965</f>
        <v>33857.389649999997</v>
      </c>
      <c r="CS9">
        <f>35833.65184</f>
        <v>35833.651839999999</v>
      </c>
      <c r="CT9">
        <f>32408.40232</f>
        <v>32408.402320000001</v>
      </c>
      <c r="CU9">
        <f>31968.03238</f>
        <v>31968.032380000001</v>
      </c>
      <c r="CV9">
        <f>29320.57509</f>
        <v>29320.575089999998</v>
      </c>
      <c r="CW9">
        <f>31475.16945</f>
        <v>31475.169450000001</v>
      </c>
      <c r="CX9">
        <f>27623.68644</f>
        <v>27623.686440000001</v>
      </c>
      <c r="CY9">
        <f>26728.10256</f>
        <v>26728.102559999999</v>
      </c>
      <c r="CZ9">
        <f>24377.29162</f>
        <v>24377.29162</v>
      </c>
      <c r="DA9">
        <f>30684.15405</f>
        <v>30684.154050000001</v>
      </c>
      <c r="DB9">
        <f>35773.84279</f>
        <v>35773.842790000002</v>
      </c>
      <c r="DC9">
        <f>39661.70233</f>
        <v>39661.70233</v>
      </c>
      <c r="DD9">
        <f>35161.65392</f>
        <v>35161.653919999997</v>
      </c>
      <c r="DE9">
        <f>21015.49749</f>
        <v>21015.497490000002</v>
      </c>
      <c r="DF9">
        <f>35301.29817</f>
        <v>35301.298170000002</v>
      </c>
      <c r="DG9">
        <f>32149.33108</f>
        <v>32149.33108</v>
      </c>
      <c r="DH9">
        <f>30634.07373</f>
        <v>30634.07373</v>
      </c>
      <c r="DI9">
        <f>16692.54481</f>
        <v>16692.544809999999</v>
      </c>
      <c r="DJ9">
        <f>30884.59814</f>
        <v>30884.598139999998</v>
      </c>
      <c r="DK9">
        <f>30953.76328</f>
        <v>30953.763279999999</v>
      </c>
      <c r="DL9">
        <f>45050.51818</f>
        <v>45050.518179999999</v>
      </c>
      <c r="DM9">
        <f>49275.76393</f>
        <v>49275.763930000001</v>
      </c>
      <c r="DN9">
        <f>46538.91088</f>
        <v>46538.910880000003</v>
      </c>
      <c r="DO9">
        <f>48367.67042</f>
        <v>48367.670420000002</v>
      </c>
      <c r="DP9">
        <f>41617.5</f>
        <v>41617.5</v>
      </c>
      <c r="DQ9">
        <f>49002.90377</f>
        <v>49002.903769999997</v>
      </c>
      <c r="DR9">
        <f>42662.83809</f>
        <v>42662.838089999997</v>
      </c>
      <c r="DS9">
        <f>44673.4425</f>
        <v>44673.442499999997</v>
      </c>
    </row>
    <row r="10" spans="1:123" x14ac:dyDescent="0.25">
      <c r="A10" t="str">
        <f>"        NAFTA - USA"</f>
        <v xml:space="preserve">        NAFTA - USA</v>
      </c>
      <c r="B10" t="str">
        <f>"DAI GR Equity"</f>
        <v>DAI GR Equity</v>
      </c>
      <c r="C10" t="str">
        <f>"BI047"</f>
        <v>BI047</v>
      </c>
      <c r="D10" t="str">
        <f>"BICS_SEGMENT_DATA"</f>
        <v>BICS_SEGMENT_DATA</v>
      </c>
      <c r="E10" t="str">
        <f t="shared" si="0"/>
        <v>Dynamic</v>
      </c>
      <c r="F10">
        <f ca="1">IF(AND(ISNUMBER($F$62),$B$53=1),$F$62,HLOOKUP(INDIRECT(ADDRESS(2,COLUMN())),OFFSET($BM$2,0,0,ROW()-1,59),ROW()-1,FALSE))</f>
        <v>14015.97925</v>
      </c>
      <c r="G10">
        <f ca="1">IF(AND(ISNUMBER($G$62),$B$53=1),$G$62,HLOOKUP(INDIRECT(ADDRESS(2,COLUMN())),OFFSET($BM$2,0,0,ROW()-1,59),ROW()-1,FALSE))</f>
        <v>11707.77903</v>
      </c>
      <c r="H10">
        <f ca="1">IF(AND(ISNUMBER($H$62),$B$53=1),$H$62,HLOOKUP(INDIRECT(ADDRESS(2,COLUMN())),OFFSET($BM$2,0,0,ROW()-1,59),ROW()-1,FALSE))</f>
        <v>11596.43288</v>
      </c>
      <c r="I10">
        <f ca="1">IF(AND(ISNUMBER($I$62),$B$53=1),$I$62,HLOOKUP(INDIRECT(ADDRESS(2,COLUMN())),OFFSET($BM$2,0,0,ROW()-1,59),ROW()-1,FALSE))</f>
        <v>11151.62911</v>
      </c>
      <c r="J10">
        <f ca="1">IF(AND(ISNUMBER($J$62),$B$53=1),$J$62,HLOOKUP(INDIRECT(ADDRESS(2,COLUMN())),OFFSET($BM$2,0,0,ROW()-1,59),ROW()-1,FALSE))</f>
        <v>12613.570680000001</v>
      </c>
      <c r="K10">
        <f ca="1">IF(AND(ISNUMBER($K$62),$B$53=1),$K$62,HLOOKUP(INDIRECT(ADDRESS(2,COLUMN())),OFFSET($BM$2,0,0,ROW()-1,59),ROW()-1,FALSE))</f>
        <v>11609.4324</v>
      </c>
      <c r="L10">
        <f ca="1">IF(AND(ISNUMBER($L$62),$B$53=1),$L$62,HLOOKUP(INDIRECT(ADDRESS(2,COLUMN())),OFFSET($BM$2,0,0,ROW()-1,59),ROW()-1,FALSE))</f>
        <v>11116.08042</v>
      </c>
      <c r="M10">
        <f ca="1">IF(AND(ISNUMBER($M$62),$B$53=1),$M$62,HLOOKUP(INDIRECT(ADDRESS(2,COLUMN())),OFFSET($BM$2,0,0,ROW()-1,59),ROW()-1,FALSE))</f>
        <v>10042.55983</v>
      </c>
      <c r="N10">
        <f ca="1">IF(AND(ISNUMBER($N$62),$B$53=1),$N$62,HLOOKUP(INDIRECT(ADDRESS(2,COLUMN())),OFFSET($BM$2,0,0,ROW()-1,59),ROW()-1,FALSE))</f>
        <v>10829.32835</v>
      </c>
      <c r="O10">
        <f ca="1">IF(AND(ISNUMBER($O$62),$B$53=1),$O$62,HLOOKUP(INDIRECT(ADDRESS(2,COLUMN())),OFFSET($BM$2,0,0,ROW()-1,59),ROW()-1,FALSE))</f>
        <v>10914.13175</v>
      </c>
      <c r="P10">
        <f ca="1">IF(AND(ISNUMBER($P$62),$B$53=1),$P$62,HLOOKUP(INDIRECT(ADDRESS(2,COLUMN())),OFFSET($BM$2,0,0,ROW()-1,59),ROW()-1,FALSE))</f>
        <v>11248.15618</v>
      </c>
      <c r="Q10">
        <f ca="1">IF(AND(ISNUMBER($Q$62),$B$53=1),$Q$62,HLOOKUP(INDIRECT(ADDRESS(2,COLUMN())),OFFSET($BM$2,0,0,ROW()-1,59),ROW()-1,FALSE))</f>
        <v>10358.029549999999</v>
      </c>
      <c r="R10">
        <f ca="1">IF(AND(ISNUMBER($R$62),$B$53=1),$R$62,HLOOKUP(INDIRECT(ADDRESS(2,COLUMN())),OFFSET($BM$2,0,0,ROW()-1,59),ROW()-1,FALSE))</f>
        <v>12046.756670000001</v>
      </c>
      <c r="S10">
        <f ca="1">IF(AND(ISNUMBER($S$62),$B$53=1),$S$62,HLOOKUP(INDIRECT(ADDRESS(2,COLUMN())),OFFSET($BM$2,0,0,ROW()-1,59),ROW()-1,FALSE))</f>
        <v>12028.16228</v>
      </c>
      <c r="T10">
        <f ca="1">IF(AND(ISNUMBER($T$62),$B$53=1),$T$62,HLOOKUP(INDIRECT(ADDRESS(2,COLUMN())),OFFSET($BM$2,0,0,ROW()-1,59),ROW()-1,FALSE))</f>
        <v>11733.67282</v>
      </c>
      <c r="U10">
        <f ca="1">IF(AND(ISNUMBER($U$62),$B$53=1),$U$62,HLOOKUP(INDIRECT(ADDRESS(2,COLUMN())),OFFSET($BM$2,0,0,ROW()-1,59),ROW()-1,FALSE))</f>
        <v>10703.81444</v>
      </c>
      <c r="V10">
        <f ca="1">IF(AND(ISNUMBER($V$62),$B$53=1),$V$62,HLOOKUP(INDIRECT(ADDRESS(2,COLUMN())),OFFSET($BM$2,0,0,ROW()-1,59),ROW()-1,FALSE))</f>
        <v>12061.463309999999</v>
      </c>
      <c r="W10">
        <f ca="1">IF(AND(ISNUMBER($W$62),$B$53=1),$W$62,HLOOKUP(INDIRECT(ADDRESS(2,COLUMN())),OFFSET($BM$2,0,0,ROW()-1,59),ROW()-1,FALSE))</f>
        <v>11091.38688</v>
      </c>
      <c r="X10">
        <f ca="1">IF(AND(ISNUMBER($X$62),$B$53=1),$X$62,HLOOKUP(INDIRECT(ADDRESS(2,COLUMN())),OFFSET($BM$2,0,0,ROW()-1,59),ROW()-1,FALSE))</f>
        <v>10882.418519999999</v>
      </c>
      <c r="Y10">
        <f ca="1">IF(AND(ISNUMBER($Y$62),$B$53=1),$Y$62,HLOOKUP(INDIRECT(ADDRESS(2,COLUMN())),OFFSET($BM$2,0,0,ROW()-1,59),ROW()-1,FALSE))</f>
        <v>10068.304690000001</v>
      </c>
      <c r="Z10">
        <f ca="1">IF(AND(ISNUMBER($Z$62),$B$53=1),$Z$62,HLOOKUP(INDIRECT(ADDRESS(2,COLUMN())),OFFSET($BM$2,0,0,ROW()-1,59),ROW()-1,FALSE))</f>
        <v>10414.33949</v>
      </c>
      <c r="AA10">
        <f ca="1">IF(AND(ISNUMBER($AA$62),$B$53=1),$AA$62,HLOOKUP(INDIRECT(ADDRESS(2,COLUMN())),OFFSET($BM$2,0,0,ROW()-1,59),ROW()-1,FALSE))</f>
        <v>9538.9312129999998</v>
      </c>
      <c r="AB10">
        <f ca="1">IF(AND(ISNUMBER($AB$62),$B$53=1),$AB$62,HLOOKUP(INDIRECT(ADDRESS(2,COLUMN())),OFFSET($BM$2,0,0,ROW()-1,59),ROW()-1,FALSE))</f>
        <v>9436.1777349999993</v>
      </c>
      <c r="AC10">
        <f ca="1">IF(AND(ISNUMBER($AC$62),$B$53=1),$AC$62,HLOOKUP(INDIRECT(ADDRESS(2,COLUMN())),OFFSET($BM$2,0,0,ROW()-1,59),ROW()-1,FALSE))</f>
        <v>8611.9474329999994</v>
      </c>
      <c r="AD10">
        <f ca="1">IF(AND(ISNUMBER($AD$62),$B$53=1),$AD$62,HLOOKUP(INDIRECT(ADDRESS(2,COLUMN())),OFFSET($BM$2,0,0,ROW()-1,59),ROW()-1,FALSE))</f>
        <v>9657.4182419999997</v>
      </c>
      <c r="AE10">
        <f ca="1">IF(AND(ISNUMBER($AE$62),$B$53=1),$AE$62,HLOOKUP(INDIRECT(ADDRESS(2,COLUMN())),OFFSET($BM$2,0,0,ROW()-1,59),ROW()-1,FALSE))</f>
        <v>8839.578501</v>
      </c>
      <c r="AF10">
        <f ca="1">IF(AND(ISNUMBER($AF$62),$B$53=1),$AF$62,HLOOKUP(INDIRECT(ADDRESS(2,COLUMN())),OFFSET($BM$2,0,0,ROW()-1,59),ROW()-1,FALSE))</f>
        <v>8292.0642480000006</v>
      </c>
      <c r="AG10">
        <f ca="1">IF(AND(ISNUMBER($AG$62),$B$53=1),$AG$62,HLOOKUP(INDIRECT(ADDRESS(2,COLUMN())),OFFSET($BM$2,0,0,ROW()-1,59),ROW()-1,FALSE))</f>
        <v>8213.1298559999996</v>
      </c>
      <c r="AH10">
        <f ca="1">IF(AND(ISNUMBER($AH$62),$B$53=1),$AH$62,HLOOKUP(INDIRECT(ADDRESS(2,COLUMN())),OFFSET($BM$2,0,0,ROW()-1,59),ROW()-1,FALSE))</f>
        <v>9274.8446179999992</v>
      </c>
      <c r="AI10">
        <f ca="1">IF(AND(ISNUMBER($AI$62),$B$53=1),$AI$62,HLOOKUP(INDIRECT(ADDRESS(2,COLUMN())),OFFSET($BM$2,0,0,ROW()-1,59),ROW()-1,FALSE))</f>
        <v>7405.4556039999998</v>
      </c>
      <c r="AJ10">
        <f ca="1">IF(AND(ISNUMBER($AJ$62),$B$53=1),$AJ$62,HLOOKUP(INDIRECT(ADDRESS(2,COLUMN())),OFFSET($BM$2,0,0,ROW()-1,59),ROW()-1,FALSE))</f>
        <v>7148.9794920000004</v>
      </c>
      <c r="AK10">
        <f ca="1">IF(AND(ISNUMBER($AK$62),$B$53=1),$AK$62,HLOOKUP(INDIRECT(ADDRESS(2,COLUMN())),OFFSET($BM$2,0,0,ROW()-1,59),ROW()-1,FALSE))</f>
        <v>7025.0421070000002</v>
      </c>
      <c r="AL10">
        <f ca="1">IF(AND(ISNUMBER($AL$62),$B$53=1),$AL$62,HLOOKUP(INDIRECT(ADDRESS(2,COLUMN())),OFFSET($BM$2,0,0,ROW()-1,59),ROW()-1,FALSE))</f>
        <v>7048.352793</v>
      </c>
      <c r="AM10">
        <f ca="1">IF(AND(ISNUMBER($AM$62),$B$53=1),$AM$62,HLOOKUP(INDIRECT(ADDRESS(2,COLUMN())),OFFSET($BM$2,0,0,ROW()-1,59),ROW()-1,FALSE))</f>
        <v>6926.0986640000001</v>
      </c>
      <c r="AN10">
        <f ca="1">IF(AND(ISNUMBER($AN$62),$B$53=1),$AN$62,HLOOKUP(INDIRECT(ADDRESS(2,COLUMN())),OFFSET($BM$2,0,0,ROW()-1,59),ROW()-1,FALSE))</f>
        <v>6343.4395709999999</v>
      </c>
      <c r="AO10">
        <f ca="1">IF(AND(ISNUMBER($AO$62),$B$53=1),$AO$62,HLOOKUP(INDIRECT(ADDRESS(2,COLUMN())),OFFSET($BM$2,0,0,ROW()-1,59),ROW()-1,FALSE))</f>
        <v>6482.1623499999996</v>
      </c>
      <c r="AP10">
        <f ca="1">IF(AND(ISNUMBER($AP$62),$B$53=1),$AP$62,HLOOKUP(INDIRECT(ADDRESS(2,COLUMN())),OFFSET($BM$2,0,0,ROW()-1,59),ROW()-1,FALSE))</f>
        <v>6409.2850799999997</v>
      </c>
      <c r="AQ10">
        <f ca="1">IF(AND(ISNUMBER($AQ$62),$B$53=1),$AQ$62,HLOOKUP(INDIRECT(ADDRESS(2,COLUMN())),OFFSET($BM$2,0,0,ROW()-1,59),ROW()-1,FALSE))</f>
        <v>5576.2366519999996</v>
      </c>
      <c r="AR10">
        <f ca="1">IF(AND(ISNUMBER($AR$62),$B$53=1),$AR$62,HLOOKUP(INDIRECT(ADDRESS(2,COLUMN())),OFFSET($BM$2,0,0,ROW()-1,59),ROW()-1,FALSE))</f>
        <v>5628.5469910000002</v>
      </c>
      <c r="AS10">
        <f ca="1">IF(AND(ISNUMBER($AS$62),$B$53=1),$AS$62,HLOOKUP(INDIRECT(ADDRESS(2,COLUMN())),OFFSET($BM$2,0,0,ROW()-1,59),ROW()-1,FALSE))</f>
        <v>5479.9639980000002</v>
      </c>
      <c r="AT10">
        <f ca="1">IF(AND(ISNUMBER($AT$62),$B$53=1),$AT$62,HLOOKUP(INDIRECT(ADDRESS(2,COLUMN())),OFFSET($BM$2,0,0,ROW()-1,59),ROW()-1,FALSE))</f>
        <v>5649.6340440000004</v>
      </c>
      <c r="AU10">
        <f ca="1">IF(AND(ISNUMBER($AU$62),$B$53=1),$AU$62,HLOOKUP(INDIRECT(ADDRESS(2,COLUMN())),OFFSET($BM$2,0,0,ROW()-1,59),ROW()-1,FALSE))</f>
        <v>6918.4411049999999</v>
      </c>
      <c r="AV10">
        <f ca="1">IF(AND(ISNUMBER($AV$62),$B$53=1),$AV$62,HLOOKUP(INDIRECT(ADDRESS(2,COLUMN())),OFFSET($BM$2,0,0,ROW()-1,59),ROW()-1,FALSE))</f>
        <v>6916.0308299999997</v>
      </c>
      <c r="AW10">
        <f ca="1">IF(AND(ISNUMBER($AW$62),$B$53=1),$AW$62,HLOOKUP(INDIRECT(ADDRESS(2,COLUMN())),OFFSET($BM$2,0,0,ROW()-1,59),ROW()-1,FALSE))</f>
        <v>6918.39833</v>
      </c>
      <c r="AX10">
        <f ca="1">IF(AND(ISNUMBER($AX$62),$B$53=1),$AX$62,HLOOKUP(INDIRECT(ADDRESS(2,COLUMN())),OFFSET($BM$2,0,0,ROW()-1,59),ROW()-1,FALSE))</f>
        <v>7538.1203509999996</v>
      </c>
      <c r="AY10">
        <f ca="1">IF(AND(ISNUMBER($AY$62),$B$53=1),$AY$62,HLOOKUP(INDIRECT(ADDRESS(2,COLUMN())),OFFSET($BM$2,0,0,ROW()-1,59),ROW()-1,FALSE))</f>
        <v>7059.9847129999998</v>
      </c>
      <c r="AZ10">
        <f ca="1">IF(AND(ISNUMBER($AZ$62),$B$53=1),$AZ$62,HLOOKUP(INDIRECT(ADDRESS(2,COLUMN())),OFFSET($BM$2,0,0,ROW()-1,59),ROW()-1,FALSE))</f>
        <v>5969.0105970000004</v>
      </c>
      <c r="BA10">
        <f ca="1">IF(AND(ISNUMBER($BA$62),$B$53=1),$BA$62,HLOOKUP(INDIRECT(ADDRESS(2,COLUMN())),OFFSET($BM$2,0,0,ROW()-1,59),ROW()-1,FALSE))</f>
        <v>7212.1811580000003</v>
      </c>
      <c r="BB10">
        <f ca="1">IF(AND(ISNUMBER($BB$62),$B$53=1),$BB$62,HLOOKUP(INDIRECT(ADDRESS(2,COLUMN())),OFFSET($BM$2,0,0,ROW()-1,59),ROW()-1,FALSE))</f>
        <v>10171.334290000001</v>
      </c>
      <c r="BC10">
        <f ca="1">IF(AND(ISNUMBER($BC$62),$B$53=1),$BC$62,HLOOKUP(INDIRECT(ADDRESS(2,COLUMN())),OFFSET($BM$2,0,0,ROW()-1,59),ROW()-1,FALSE))</f>
        <v>7934.6169840000002</v>
      </c>
      <c r="BD10">
        <f ca="1">IF(AND(ISNUMBER($BD$62),$B$53=1),$BD$62,HLOOKUP(INDIRECT(ADDRESS(2,COLUMN())),OFFSET($BM$2,0,0,ROW()-1,59),ROW()-1,FALSE))</f>
        <v>8082.5532620000004</v>
      </c>
      <c r="BE10">
        <f ca="1">IF(AND(ISNUMBER($BE$62),$B$53=1),$BE$62,HLOOKUP(INDIRECT(ADDRESS(2,COLUMN())),OFFSET($BM$2,0,0,ROW()-1,59),ROW()-1,FALSE))</f>
        <v>20319.896420000001</v>
      </c>
      <c r="BF10" t="str">
        <f ca="1">IF(AND(ISNUMBER($BF$62),$B$53=1),$BF$62,HLOOKUP(INDIRECT(ADDRESS(2,COLUMN())),OFFSET($BM$2,0,0,ROW()-1,59),ROW()-1,FALSE))</f>
        <v/>
      </c>
      <c r="BG10" t="str">
        <f ca="1">IF(AND(ISNUMBER($BG$62),$B$53=1),$BG$62,HLOOKUP(INDIRECT(ADDRESS(2,COLUMN())),OFFSET($BM$2,0,0,ROW()-1,59),ROW()-1,FALSE))</f>
        <v/>
      </c>
      <c r="BH10" t="str">
        <f ca="1">IF(AND(ISNUMBER($BH$62),$B$53=1),$BH$62,HLOOKUP(INDIRECT(ADDRESS(2,COLUMN())),OFFSET($BM$2,0,0,ROW()-1,59),ROW()-1,FALSE))</f>
        <v/>
      </c>
      <c r="BI10" t="str">
        <f ca="1">IF(AND(ISNUMBER($BI$62),$B$53=1),$BI$62,HLOOKUP(INDIRECT(ADDRESS(2,COLUMN())),OFFSET($BM$2,0,0,ROW()-1,59),ROW()-1,FALSE))</f>
        <v/>
      </c>
      <c r="BJ10" t="str">
        <f ca="1">IF(AND(ISNUMBER($BJ$62),$B$53=1),$BJ$62,HLOOKUP(INDIRECT(ADDRESS(2,COLUMN())),OFFSET($BM$2,0,0,ROW()-1,59),ROW()-1,FALSE))</f>
        <v/>
      </c>
      <c r="BK10" t="str">
        <f ca="1">IF(AND(ISNUMBER($BK$62),$B$53=1),$BK$62,HLOOKUP(INDIRECT(ADDRESS(2,COLUMN())),OFFSET($BM$2,0,0,ROW()-1,59),ROW()-1,FALSE))</f>
        <v/>
      </c>
      <c r="BL10" t="str">
        <f ca="1">IF(AND(ISNUMBER($BL$62),$B$53=1),$BL$62,HLOOKUP(INDIRECT(ADDRESS(2,COLUMN())),OFFSET($BM$2,0,0,ROW()-1,59),ROW()-1,FALSE))</f>
        <v/>
      </c>
      <c r="BM10">
        <f>14015.97925</f>
        <v>14015.97925</v>
      </c>
      <c r="BN10">
        <f>11707.77903</f>
        <v>11707.77903</v>
      </c>
      <c r="BO10">
        <f>11596.43288</f>
        <v>11596.43288</v>
      </c>
      <c r="BP10">
        <f>11151.62911</f>
        <v>11151.62911</v>
      </c>
      <c r="BQ10">
        <f>12613.57068</f>
        <v>12613.570680000001</v>
      </c>
      <c r="BR10">
        <f>11609.4324</f>
        <v>11609.4324</v>
      </c>
      <c r="BS10">
        <f>11116.08042</f>
        <v>11116.08042</v>
      </c>
      <c r="BT10">
        <f>10042.55983</f>
        <v>10042.55983</v>
      </c>
      <c r="BU10">
        <f>10829.32835</f>
        <v>10829.32835</v>
      </c>
      <c r="BV10">
        <f>10914.13175</f>
        <v>10914.13175</v>
      </c>
      <c r="BW10">
        <f>11248.15618</f>
        <v>11248.15618</v>
      </c>
      <c r="BX10">
        <f>10358.02955</f>
        <v>10358.029549999999</v>
      </c>
      <c r="BY10">
        <f>12046.75667</f>
        <v>12046.756670000001</v>
      </c>
      <c r="BZ10">
        <f>12028.16228</f>
        <v>12028.16228</v>
      </c>
      <c r="CA10">
        <f>11733.67282</f>
        <v>11733.67282</v>
      </c>
      <c r="CB10">
        <f>10703.81444</f>
        <v>10703.81444</v>
      </c>
      <c r="CC10">
        <f>12061.46331</f>
        <v>12061.463309999999</v>
      </c>
      <c r="CD10">
        <f>11091.38688</f>
        <v>11091.38688</v>
      </c>
      <c r="CE10">
        <f>10882.41852</f>
        <v>10882.418519999999</v>
      </c>
      <c r="CF10">
        <f>10068.30469</f>
        <v>10068.304690000001</v>
      </c>
      <c r="CG10">
        <f>10414.33949</f>
        <v>10414.33949</v>
      </c>
      <c r="CH10">
        <f>9538.931213</f>
        <v>9538.9312129999998</v>
      </c>
      <c r="CI10">
        <f>9436.177735</f>
        <v>9436.1777349999993</v>
      </c>
      <c r="CJ10">
        <f>8611.947433</f>
        <v>8611.9474329999994</v>
      </c>
      <c r="CK10">
        <f>9657.418242</f>
        <v>9657.4182419999997</v>
      </c>
      <c r="CL10">
        <f>8839.578501</f>
        <v>8839.578501</v>
      </c>
      <c r="CM10">
        <f>8292.064248</f>
        <v>8292.0642480000006</v>
      </c>
      <c r="CN10">
        <f>8213.129856</f>
        <v>8213.1298559999996</v>
      </c>
      <c r="CO10">
        <f>9274.844618</f>
        <v>9274.8446179999992</v>
      </c>
      <c r="CP10">
        <f>7405.455604</f>
        <v>7405.4556039999998</v>
      </c>
      <c r="CQ10">
        <f>7148.979492</f>
        <v>7148.9794920000004</v>
      </c>
      <c r="CR10">
        <f>7025.042107</f>
        <v>7025.0421070000002</v>
      </c>
      <c r="CS10">
        <f>7048.352793</f>
        <v>7048.352793</v>
      </c>
      <c r="CT10">
        <f>6926.098664</f>
        <v>6926.0986640000001</v>
      </c>
      <c r="CU10">
        <f>6343.439571</f>
        <v>6343.4395709999999</v>
      </c>
      <c r="CV10">
        <f>6482.16235</f>
        <v>6482.1623499999996</v>
      </c>
      <c r="CW10">
        <f>6409.28508</f>
        <v>6409.2850799999997</v>
      </c>
      <c r="CX10">
        <f>5576.236652</f>
        <v>5576.2366519999996</v>
      </c>
      <c r="CY10">
        <f>5628.546991</f>
        <v>5628.5469910000002</v>
      </c>
      <c r="CZ10">
        <f>5479.963998</f>
        <v>5479.9639980000002</v>
      </c>
      <c r="DA10">
        <f>5649.634044</f>
        <v>5649.6340440000004</v>
      </c>
      <c r="DB10">
        <f>6918.441105</f>
        <v>6918.4411049999999</v>
      </c>
      <c r="DC10">
        <f>6916.03083</f>
        <v>6916.0308299999997</v>
      </c>
      <c r="DD10">
        <f>6918.39833</f>
        <v>6918.39833</v>
      </c>
      <c r="DE10">
        <f>7538.120351</f>
        <v>7538.1203509999996</v>
      </c>
      <c r="DF10">
        <f>7059.984713</f>
        <v>7059.9847129999998</v>
      </c>
      <c r="DG10">
        <f>5969.010597</f>
        <v>5969.0105970000004</v>
      </c>
      <c r="DH10">
        <f>7212.181158</f>
        <v>7212.1811580000003</v>
      </c>
      <c r="DI10">
        <f>10171.33429</f>
        <v>10171.334290000001</v>
      </c>
      <c r="DJ10">
        <f>7934.616984</f>
        <v>7934.6169840000002</v>
      </c>
      <c r="DK10">
        <f>8082.553262</f>
        <v>8082.5532620000004</v>
      </c>
      <c r="DL10">
        <f>20319.89642</f>
        <v>20319.896420000001</v>
      </c>
      <c r="DM10" t="str">
        <f>""</f>
        <v/>
      </c>
      <c r="DN10" t="str">
        <f>""</f>
        <v/>
      </c>
      <c r="DO10" t="str">
        <f>""</f>
        <v/>
      </c>
      <c r="DP10" t="str">
        <f>""</f>
        <v/>
      </c>
      <c r="DQ10" t="str">
        <f>""</f>
        <v/>
      </c>
      <c r="DR10" t="str">
        <f>""</f>
        <v/>
      </c>
      <c r="DS10" t="str">
        <f>""</f>
        <v/>
      </c>
    </row>
    <row r="11" spans="1:123" x14ac:dyDescent="0.25">
      <c r="A11" t="str">
        <f>"By Geography ($M) - Ford"</f>
        <v>By Geography ($M) - Ford</v>
      </c>
      <c r="B11" t="str">
        <f>"F US Equity"</f>
        <v>F US Equity</v>
      </c>
      <c r="C11" t="str">
        <f>"IS010"</f>
        <v>IS010</v>
      </c>
      <c r="D11" t="str">
        <f>"SALES_REV_TURN"</f>
        <v>SALES_REV_TURN</v>
      </c>
      <c r="E11" t="str">
        <f t="shared" si="0"/>
        <v>Dynamic</v>
      </c>
      <c r="F11">
        <f ca="1">IF(AND(ISNUMBER($F$63),$B$53=1),$F$63,HLOOKUP(INDIRECT(ADDRESS(2,COLUMN())),OFFSET($BM$2,0,0,ROW()-1,59),ROW()-1,FALSE))</f>
        <v>41793</v>
      </c>
      <c r="G11">
        <f ca="1">IF(AND(ISNUMBER($G$63),$B$53=1),$G$63,HLOOKUP(INDIRECT(ADDRESS(2,COLUMN())),OFFSET($BM$2,0,0,ROW()-1,59),ROW()-1,FALSE))</f>
        <v>37666</v>
      </c>
      <c r="H11">
        <f ca="1">IF(AND(ISNUMBER($H$63),$B$53=1),$H$63,HLOOKUP(INDIRECT(ADDRESS(2,COLUMN())),OFFSET($BM$2,0,0,ROW()-1,59),ROW()-1,FALSE))</f>
        <v>38920</v>
      </c>
      <c r="I11">
        <f ca="1">IF(AND(ISNUMBER($I$63),$B$53=1),$I$63,HLOOKUP(INDIRECT(ADDRESS(2,COLUMN())),OFFSET($BM$2,0,0,ROW()-1,59),ROW()-1,FALSE))</f>
        <v>41959</v>
      </c>
      <c r="J11">
        <f ca="1">IF(AND(ISNUMBER($J$63),$B$53=1),$J$63,HLOOKUP(INDIRECT(ADDRESS(2,COLUMN())),OFFSET($BM$2,0,0,ROW()-1,59),ROW()-1,FALSE))</f>
        <v>41326</v>
      </c>
      <c r="K11">
        <f ca="1">IF(AND(ISNUMBER($K$63),$B$53=1),$K$63,HLOOKUP(INDIRECT(ADDRESS(2,COLUMN())),OFFSET($BM$2,0,0,ROW()-1,59),ROW()-1,FALSE))</f>
        <v>36451</v>
      </c>
      <c r="L11">
        <f ca="1">IF(AND(ISNUMBER($L$63),$B$53=1),$L$63,HLOOKUP(INDIRECT(ADDRESS(2,COLUMN())),OFFSET($BM$2,0,0,ROW()-1,59),ROW()-1,FALSE))</f>
        <v>39853</v>
      </c>
      <c r="M11">
        <f ca="1">IF(AND(ISNUMBER($M$63),$B$53=1),$M$63,HLOOKUP(INDIRECT(ADDRESS(2,COLUMN())),OFFSET($BM$2,0,0,ROW()-1,59),ROW()-1,FALSE))</f>
        <v>39146</v>
      </c>
      <c r="N11">
        <f ca="1">IF(AND(ISNUMBER($N$63),$B$53=1),$N$63,HLOOKUP(INDIRECT(ADDRESS(2,COLUMN())),OFFSET($BM$2,0,0,ROW()-1,59),ROW()-1,FALSE))</f>
        <v>38654</v>
      </c>
      <c r="O11">
        <f ca="1">IF(AND(ISNUMBER($O$63),$B$53=1),$O$63,HLOOKUP(INDIRECT(ADDRESS(2,COLUMN())),OFFSET($BM$2,0,0,ROW()-1,59),ROW()-1,FALSE))</f>
        <v>35943</v>
      </c>
      <c r="P11">
        <f ca="1">IF(AND(ISNUMBER($P$63),$B$53=1),$P$63,HLOOKUP(INDIRECT(ADDRESS(2,COLUMN())),OFFSET($BM$2,0,0,ROW()-1,59),ROW()-1,FALSE))</f>
        <v>39485</v>
      </c>
      <c r="Q11">
        <f ca="1">IF(AND(ISNUMBER($Q$63),$B$53=1),$Q$63,HLOOKUP(INDIRECT(ADDRESS(2,COLUMN())),OFFSET($BM$2,0,0,ROW()-1,59),ROW()-1,FALSE))</f>
        <v>37718</v>
      </c>
      <c r="R11">
        <f ca="1">IF(AND(ISNUMBER($R$63),$B$53=1),$R$63,HLOOKUP(INDIRECT(ADDRESS(2,COLUMN())),OFFSET($BM$2,0,0,ROW()-1,59),ROW()-1,FALSE))</f>
        <v>40251</v>
      </c>
      <c r="S11">
        <f ca="1">IF(AND(ISNUMBER($S$63),$B$53=1),$S$63,HLOOKUP(INDIRECT(ADDRESS(2,COLUMN())),OFFSET($BM$2,0,0,ROW()-1,59),ROW()-1,FALSE))</f>
        <v>38144</v>
      </c>
      <c r="T11">
        <f ca="1">IF(AND(ISNUMBER($T$63),$B$53=1),$T$63,HLOOKUP(INDIRECT(ADDRESS(2,COLUMN())),OFFSET($BM$2,0,0,ROW()-1,59),ROW()-1,FALSE))</f>
        <v>37263</v>
      </c>
      <c r="U11">
        <f ca="1">IF(AND(ISNUMBER($U$63),$B$53=1),$U$63,HLOOKUP(INDIRECT(ADDRESS(2,COLUMN())),OFFSET($BM$2,0,0,ROW()-1,59),ROW()-1,FALSE))</f>
        <v>33900</v>
      </c>
      <c r="V11">
        <f ca="1">IF(AND(ISNUMBER($V$63),$B$53=1),$V$63,HLOOKUP(INDIRECT(ADDRESS(2,COLUMN())),OFFSET($BM$2,0,0,ROW()-1,59),ROW()-1,FALSE))</f>
        <v>35870</v>
      </c>
      <c r="W11">
        <f ca="1">IF(AND(ISNUMBER($W$63),$B$53=1),$W$63,HLOOKUP(INDIRECT(ADDRESS(2,COLUMN())),OFFSET($BM$2,0,0,ROW()-1,59),ROW()-1,FALSE))</f>
        <v>34920</v>
      </c>
      <c r="X11">
        <f ca="1">IF(AND(ISNUMBER($X$63),$B$53=1),$X$63,HLOOKUP(INDIRECT(ADDRESS(2,COLUMN())),OFFSET($BM$2,0,0,ROW()-1,59),ROW()-1,FALSE))</f>
        <v>37411</v>
      </c>
      <c r="Y11">
        <f ca="1">IF(AND(ISNUMBER($Y$63),$B$53=1),$Y$63,HLOOKUP(INDIRECT(ADDRESS(2,COLUMN())),OFFSET($BM$2,0,0,ROW()-1,59),ROW()-1,FALSE))</f>
        <v>35876</v>
      </c>
      <c r="Z11">
        <f ca="1">IF(AND(ISNUMBER($Z$63),$B$53=1),$Z$63,HLOOKUP(INDIRECT(ADDRESS(2,COLUMN())),OFFSET($BM$2,0,0,ROW()-1,59),ROW()-1,FALSE))</f>
        <v>37570</v>
      </c>
      <c r="AA11">
        <f ca="1">IF(AND(ISNUMBER($AA$63),$B$53=1),$AA$63,HLOOKUP(INDIRECT(ADDRESS(2,COLUMN())),OFFSET($BM$2,0,0,ROW()-1,59),ROW()-1,FALSE))</f>
        <v>35775</v>
      </c>
      <c r="AB11">
        <f ca="1">IF(AND(ISNUMBER($AB$63),$B$53=1),$AB$63,HLOOKUP(INDIRECT(ADDRESS(2,COLUMN())),OFFSET($BM$2,0,0,ROW()-1,59),ROW()-1,FALSE))</f>
        <v>37923</v>
      </c>
      <c r="AC11">
        <f ca="1">IF(AND(ISNUMBER($AC$63),$B$53=1),$AC$63,HLOOKUP(INDIRECT(ADDRESS(2,COLUMN())),OFFSET($BM$2,0,0,ROW()-1,59),ROW()-1,FALSE))</f>
        <v>35649</v>
      </c>
      <c r="AD11">
        <f ca="1">IF(AND(ISNUMBER($AD$63),$B$53=1),$AD$63,HLOOKUP(INDIRECT(ADDRESS(2,COLUMN())),OFFSET($BM$2,0,0,ROW()-1,59),ROW()-1,FALSE))</f>
        <v>35731</v>
      </c>
      <c r="AE11">
        <f ca="1">IF(AND(ISNUMBER($AE$63),$B$53=1),$AE$63,HLOOKUP(INDIRECT(ADDRESS(2,COLUMN())),OFFSET($BM$2,0,0,ROW()-1,59),ROW()-1,FALSE))</f>
        <v>32172</v>
      </c>
      <c r="AF11">
        <f ca="1">IF(AND(ISNUMBER($AF$63),$B$53=1),$AF$63,HLOOKUP(INDIRECT(ADDRESS(2,COLUMN())),OFFSET($BM$2,0,0,ROW()-1,59),ROW()-1,FALSE))</f>
        <v>33211</v>
      </c>
      <c r="AG11">
        <f ca="1">IF(AND(ISNUMBER($AG$63),$B$53=1),$AG$63,HLOOKUP(INDIRECT(ADDRESS(2,COLUMN())),OFFSET($BM$2,0,0,ROW()-1,59),ROW()-1,FALSE))</f>
        <v>32445</v>
      </c>
      <c r="AH11">
        <f ca="1">IF(AND(ISNUMBER($AH$63),$B$53=1),$AH$63,HLOOKUP(INDIRECT(ADDRESS(2,COLUMN())),OFFSET($BM$2,0,0,ROW()-1,59),ROW()-1,FALSE))</f>
        <v>34576</v>
      </c>
      <c r="AI11">
        <f ca="1">IF(AND(ISNUMBER($AI$63),$B$53=1),$AI$63,HLOOKUP(INDIRECT(ADDRESS(2,COLUMN())),OFFSET($BM$2,0,0,ROW()-1,59),ROW()-1,FALSE))</f>
        <v>33047</v>
      </c>
      <c r="AJ11">
        <f ca="1">IF(AND(ISNUMBER($AJ$63),$B$53=1),$AJ$63,HLOOKUP(INDIRECT(ADDRESS(2,COLUMN())),OFFSET($BM$2,0,0,ROW()-1,59),ROW()-1,FALSE))</f>
        <v>35527</v>
      </c>
      <c r="AK11">
        <f ca="1">IF(AND(ISNUMBER($AK$63),$B$53=1),$AK$63,HLOOKUP(INDIRECT(ADDRESS(2,COLUMN())),OFFSET($BM$2,0,0,ROW()-1,59),ROW()-1,FALSE))</f>
        <v>33114</v>
      </c>
      <c r="AL11">
        <f ca="1">IF(AND(ISNUMBER($AL$63),$B$53=1),$AL$63,HLOOKUP(INDIRECT(ADDRESS(2,COLUMN())),OFFSET($BM$2,0,0,ROW()-1,59),ROW()-1,FALSE))</f>
        <v>32428</v>
      </c>
      <c r="AM11">
        <f ca="1">IF(AND(ISNUMBER($AM$63),$B$53=1),$AM$63,HLOOKUP(INDIRECT(ADDRESS(2,COLUMN())),OFFSET($BM$2,0,0,ROW()-1,59),ROW()-1,FALSE))</f>
        <v>29893</v>
      </c>
      <c r="AN11">
        <f ca="1">IF(AND(ISNUMBER($AN$63),$B$53=1),$AN$63,HLOOKUP(INDIRECT(ADDRESS(2,COLUMN())),OFFSET($BM$2,0,0,ROW()-1,59),ROW()-1,FALSE))</f>
        <v>35067</v>
      </c>
      <c r="AO11">
        <f ca="1">IF(AND(ISNUMBER($AO$63),$B$53=1),$AO$63,HLOOKUP(INDIRECT(ADDRESS(2,COLUMN())),OFFSET($BM$2,0,0,ROW()-1,59),ROW()-1,FALSE))</f>
        <v>31566</v>
      </c>
      <c r="AP11">
        <f ca="1">IF(AND(ISNUMBER($AP$63),$B$53=1),$AP$63,HLOOKUP(INDIRECT(ADDRESS(2,COLUMN())),OFFSET($BM$2,0,0,ROW()-1,59),ROW()-1,FALSE))</f>
        <v>33424</v>
      </c>
      <c r="AQ11">
        <f ca="1">IF(AND(ISNUMBER($AQ$63),$B$53=1),$AQ$63,HLOOKUP(INDIRECT(ADDRESS(2,COLUMN())),OFFSET($BM$2,0,0,ROW()-1,59),ROW()-1,FALSE))</f>
        <v>30272</v>
      </c>
      <c r="AR11">
        <f ca="1">IF(AND(ISNUMBER($AR$63),$B$53=1),$AR$63,HLOOKUP(INDIRECT(ADDRESS(2,COLUMN())),OFFSET($BM$2,0,0,ROW()-1,59),ROW()-1,FALSE))</f>
        <v>26810</v>
      </c>
      <c r="AS11">
        <f ca="1">IF(AND(ISNUMBER($AS$63),$B$53=1),$AS$63,HLOOKUP(INDIRECT(ADDRESS(2,COLUMN())),OFFSET($BM$2,0,0,ROW()-1,59),ROW()-1,FALSE))</f>
        <v>24390</v>
      </c>
      <c r="AT11">
        <f ca="1">IF(AND(ISNUMBER($AT$63),$B$53=1),$AT$63,HLOOKUP(INDIRECT(ADDRESS(2,COLUMN())),OFFSET($BM$2,0,0,ROW()-1,59),ROW()-1,FALSE))</f>
        <v>28974</v>
      </c>
      <c r="AU11">
        <f ca="1">IF(AND(ISNUMBER($AU$63),$B$53=1),$AU$63,HLOOKUP(INDIRECT(ADDRESS(2,COLUMN())),OFFSET($BM$2,0,0,ROW()-1,59),ROW()-1,FALSE))</f>
        <v>31746</v>
      </c>
      <c r="AV11">
        <f ca="1">IF(AND(ISNUMBER($AV$63),$B$53=1),$AV$63,HLOOKUP(INDIRECT(ADDRESS(2,COLUMN())),OFFSET($BM$2,0,0,ROW()-1,59),ROW()-1,FALSE))</f>
        <v>41102</v>
      </c>
      <c r="AW11">
        <f ca="1">IF(AND(ISNUMBER($AW$63),$B$53=1),$AW$63,HLOOKUP(INDIRECT(ADDRESS(2,COLUMN())),OFFSET($BM$2,0,0,ROW()-1,59),ROW()-1,FALSE))</f>
        <v>43292</v>
      </c>
      <c r="AX11">
        <f ca="1">IF(AND(ISNUMBER($AX$63),$B$53=1),$AX$63,HLOOKUP(INDIRECT(ADDRESS(2,COLUMN())),OFFSET($BM$2,0,0,ROW()-1,59),ROW()-1,FALSE))</f>
        <v>44116</v>
      </c>
      <c r="AY11">
        <f ca="1">IF(AND(ISNUMBER($AY$63),$B$53=1),$AY$63,HLOOKUP(INDIRECT(ADDRESS(2,COLUMN())),OFFSET($BM$2,0,0,ROW()-1,59),ROW()-1,FALSE))</f>
        <v>41078</v>
      </c>
      <c r="AZ11">
        <f ca="1">IF(AND(ISNUMBER($AZ$63),$B$53=1),$AZ$63,HLOOKUP(INDIRECT(ADDRESS(2,COLUMN())),OFFSET($BM$2,0,0,ROW()-1,59),ROW()-1,FALSE))</f>
        <v>44242</v>
      </c>
      <c r="BA11">
        <f ca="1">IF(AND(ISNUMBER($BA$63),$B$53=1),$BA$63,HLOOKUP(INDIRECT(ADDRESS(2,COLUMN())),OFFSET($BM$2,0,0,ROW()-1,59),ROW()-1,FALSE))</f>
        <v>43005</v>
      </c>
      <c r="BB11">
        <f ca="1">IF(AND(ISNUMBER($BB$63),$B$53=1),$BB$63,HLOOKUP(INDIRECT(ADDRESS(2,COLUMN())),OFFSET($BM$2,0,0,ROW()-1,59),ROW()-1,FALSE))</f>
        <v>40275</v>
      </c>
      <c r="BC11">
        <f ca="1">IF(AND(ISNUMBER($BC$63),$B$53=1),$BC$63,HLOOKUP(INDIRECT(ADDRESS(2,COLUMN())),OFFSET($BM$2,0,0,ROW()-1,59),ROW()-1,FALSE))</f>
        <v>37095</v>
      </c>
      <c r="BD11">
        <f ca="1">IF(AND(ISNUMBER($BD$63),$B$53=1),$BD$63,HLOOKUP(INDIRECT(ADDRESS(2,COLUMN())),OFFSET($BM$2,0,0,ROW()-1,59),ROW()-1,FALSE))</f>
        <v>41878</v>
      </c>
      <c r="BE11">
        <f ca="1">IF(AND(ISNUMBER($BE$63),$B$53=1),$BE$63,HLOOKUP(INDIRECT(ADDRESS(2,COLUMN())),OFFSET($BM$2,0,0,ROW()-1,59),ROW()-1,FALSE))</f>
        <v>40801</v>
      </c>
      <c r="BF11">
        <f ca="1">IF(AND(ISNUMBER($BF$63),$B$53=1),$BF$63,HLOOKUP(INDIRECT(ADDRESS(2,COLUMN())),OFFSET($BM$2,0,0,ROW()-1,59),ROW()-1,FALSE))</f>
        <v>46549</v>
      </c>
      <c r="BG11">
        <f ca="1">IF(AND(ISNUMBER($BG$63),$B$53=1),$BG$63,HLOOKUP(INDIRECT(ADDRESS(2,COLUMN())),OFFSET($BM$2,0,0,ROW()-1,59),ROW()-1,FALSE))</f>
        <v>40510</v>
      </c>
      <c r="BH11">
        <f ca="1">IF(AND(ISNUMBER($BH$63),$B$53=1),$BH$63,HLOOKUP(INDIRECT(ADDRESS(2,COLUMN())),OFFSET($BM$2,0,0,ROW()-1,59),ROW()-1,FALSE))</f>
        <v>44548</v>
      </c>
      <c r="BI11">
        <f ca="1">IF(AND(ISNUMBER($BI$63),$B$53=1),$BI$63,HLOOKUP(INDIRECT(ADDRESS(2,COLUMN())),OFFSET($BM$2,0,0,ROW()-1,59),ROW()-1,FALSE))</f>
        <v>44895</v>
      </c>
      <c r="BJ11">
        <f ca="1">IF(AND(ISNUMBER($BJ$63),$B$53=1),$BJ$63,HLOOKUP(INDIRECT(ADDRESS(2,COLUMN())),OFFSET($BM$2,0,0,ROW()-1,59),ROW()-1,FALSE))</f>
        <v>44930</v>
      </c>
      <c r="BK11">
        <f ca="1">IF(AND(ISNUMBER($BK$63),$B$53=1),$BK$63,HLOOKUP(INDIRECT(ADDRESS(2,COLUMN())),OFFSET($BM$2,0,0,ROW()-1,59),ROW()-1,FALSE))</f>
        <v>39121</v>
      </c>
      <c r="BL11">
        <f ca="1">IF(AND(ISNUMBER($BL$63),$B$53=1),$BL$63,HLOOKUP(INDIRECT(ADDRESS(2,COLUMN())),OFFSET($BM$2,0,0,ROW()-1,59),ROW()-1,FALSE))</f>
        <v>42802</v>
      </c>
      <c r="BM11">
        <f>41793</f>
        <v>41793</v>
      </c>
      <c r="BN11">
        <f>37666</f>
        <v>37666</v>
      </c>
      <c r="BO11">
        <f>38920</f>
        <v>38920</v>
      </c>
      <c r="BP11">
        <f>41959</f>
        <v>41959</v>
      </c>
      <c r="BQ11">
        <f>41326</f>
        <v>41326</v>
      </c>
      <c r="BR11">
        <f>36451</f>
        <v>36451</v>
      </c>
      <c r="BS11">
        <f>39853</f>
        <v>39853</v>
      </c>
      <c r="BT11">
        <f>39146</f>
        <v>39146</v>
      </c>
      <c r="BU11">
        <f>38654</f>
        <v>38654</v>
      </c>
      <c r="BV11">
        <f>35943</f>
        <v>35943</v>
      </c>
      <c r="BW11">
        <f>39485</f>
        <v>39485</v>
      </c>
      <c r="BX11">
        <f>37718</f>
        <v>37718</v>
      </c>
      <c r="BY11">
        <f>40251</f>
        <v>40251</v>
      </c>
      <c r="BZ11">
        <f>38144</f>
        <v>38144</v>
      </c>
      <c r="CA11">
        <f>37263</f>
        <v>37263</v>
      </c>
      <c r="CB11">
        <f>33900</f>
        <v>33900</v>
      </c>
      <c r="CC11">
        <f>35870</f>
        <v>35870</v>
      </c>
      <c r="CD11">
        <f>34920</f>
        <v>34920</v>
      </c>
      <c r="CE11">
        <f>37411</f>
        <v>37411</v>
      </c>
      <c r="CF11">
        <f>35876</f>
        <v>35876</v>
      </c>
      <c r="CG11">
        <f>37570</f>
        <v>37570</v>
      </c>
      <c r="CH11">
        <f>35775</f>
        <v>35775</v>
      </c>
      <c r="CI11">
        <f>37923</f>
        <v>37923</v>
      </c>
      <c r="CJ11">
        <f>35649</f>
        <v>35649</v>
      </c>
      <c r="CK11">
        <f>35731</f>
        <v>35731</v>
      </c>
      <c r="CL11">
        <f>32172</f>
        <v>32172</v>
      </c>
      <c r="CM11">
        <f>33211</f>
        <v>33211</v>
      </c>
      <c r="CN11">
        <f>32445</f>
        <v>32445</v>
      </c>
      <c r="CO11">
        <f>34576</f>
        <v>34576</v>
      </c>
      <c r="CP11">
        <f>33047</f>
        <v>33047</v>
      </c>
      <c r="CQ11">
        <f>35527</f>
        <v>35527</v>
      </c>
      <c r="CR11">
        <f>33114</f>
        <v>33114</v>
      </c>
      <c r="CS11">
        <f>32428</f>
        <v>32428</v>
      </c>
      <c r="CT11">
        <f>29893</f>
        <v>29893</v>
      </c>
      <c r="CU11">
        <f>35067</f>
        <v>35067</v>
      </c>
      <c r="CV11">
        <f>31566</f>
        <v>31566</v>
      </c>
      <c r="CW11">
        <f>33424</f>
        <v>33424</v>
      </c>
      <c r="CX11">
        <f>30272</f>
        <v>30272</v>
      </c>
      <c r="CY11">
        <f>26810</f>
        <v>26810</v>
      </c>
      <c r="CZ11">
        <f>24390</f>
        <v>24390</v>
      </c>
      <c r="DA11">
        <f>28974</f>
        <v>28974</v>
      </c>
      <c r="DB11">
        <f>31746</f>
        <v>31746</v>
      </c>
      <c r="DC11">
        <f>41102</f>
        <v>41102</v>
      </c>
      <c r="DD11">
        <f>43292</f>
        <v>43292</v>
      </c>
      <c r="DE11">
        <f>44116</f>
        <v>44116</v>
      </c>
      <c r="DF11">
        <f>41078</f>
        <v>41078</v>
      </c>
      <c r="DG11">
        <f>44242</f>
        <v>44242</v>
      </c>
      <c r="DH11">
        <f>43005</f>
        <v>43005</v>
      </c>
      <c r="DI11">
        <f>40275</f>
        <v>40275</v>
      </c>
      <c r="DJ11">
        <f>37095</f>
        <v>37095</v>
      </c>
      <c r="DK11">
        <f>41878</f>
        <v>41878</v>
      </c>
      <c r="DL11">
        <f>40801</f>
        <v>40801</v>
      </c>
      <c r="DM11">
        <f>46549</f>
        <v>46549</v>
      </c>
      <c r="DN11">
        <f>40510</f>
        <v>40510</v>
      </c>
      <c r="DO11">
        <f>44548</f>
        <v>44548</v>
      </c>
      <c r="DP11">
        <f>44895</f>
        <v>44895</v>
      </c>
      <c r="DQ11">
        <f>44930</f>
        <v>44930</v>
      </c>
      <c r="DR11">
        <f>39121</f>
        <v>39121</v>
      </c>
      <c r="DS11">
        <f>42802</f>
        <v>42802</v>
      </c>
    </row>
    <row r="12" spans="1:123" x14ac:dyDescent="0.25">
      <c r="A12" t="str">
        <f>"        Total America - USA"</f>
        <v xml:space="preserve">        Total America - USA</v>
      </c>
      <c r="B12" t="str">
        <f>"F US Equity"</f>
        <v>F US Equity</v>
      </c>
      <c r="C12" t="str">
        <f>"BI047"</f>
        <v>BI047</v>
      </c>
      <c r="D12" t="str">
        <f>"BICS_SEGMENT_DATA"</f>
        <v>BICS_SEGMENT_DATA</v>
      </c>
      <c r="E12" t="str">
        <f t="shared" si="0"/>
        <v>Dynamic</v>
      </c>
      <c r="F12">
        <f ca="1">IF(AND(ISNUMBER($F$64),$B$53=1),$F$64,HLOOKUP(INDIRECT(ADDRESS(2,COLUMN())),OFFSET($BM$2,0,0,ROW()-1,59),ROW()-1,FALSE))</f>
        <v>25800</v>
      </c>
      <c r="G12">
        <f ca="1">IF(AND(ISNUMBER($G$64),$B$53=1),$G$64,HLOOKUP(INDIRECT(ADDRESS(2,COLUMN())),OFFSET($BM$2,0,0,ROW()-1,59),ROW()-1,FALSE))</f>
        <v>22300</v>
      </c>
      <c r="H12">
        <f ca="1">IF(AND(ISNUMBER($H$64),$B$53=1),$H$64,HLOOKUP(INDIRECT(ADDRESS(2,COLUMN())),OFFSET($BM$2,0,0,ROW()-1,59),ROW()-1,FALSE))</f>
        <v>23700</v>
      </c>
      <c r="I12">
        <f ca="1">IF(AND(ISNUMBER($I$64),$B$53=1),$I$64,HLOOKUP(INDIRECT(ADDRESS(2,COLUMN())),OFFSET($BM$2,0,0,ROW()-1,59),ROW()-1,FALSE))</f>
        <v>24800</v>
      </c>
      <c r="J12">
        <f ca="1">IF(AND(ISNUMBER($J$64),$B$53=1),$J$64,HLOOKUP(INDIRECT(ADDRESS(2,COLUMN())),OFFSET($BM$2,0,0,ROW()-1,59),ROW()-1,FALSE))</f>
        <v>24100</v>
      </c>
      <c r="K12">
        <f ca="1">IF(AND(ISNUMBER($K$64),$B$53=1),$K$64,HLOOKUP(INDIRECT(ADDRESS(2,COLUMN())),OFFSET($BM$2,0,0,ROW()-1,59),ROW()-1,FALSE))</f>
        <v>20900</v>
      </c>
      <c r="L12">
        <f ca="1">IF(AND(ISNUMBER($L$64),$B$53=1),$L$64,HLOOKUP(INDIRECT(ADDRESS(2,COLUMN())),OFFSET($BM$2,0,0,ROW()-1,59),ROW()-1,FALSE))</f>
        <v>24500</v>
      </c>
      <c r="M12">
        <f ca="1">IF(AND(ISNUMBER($M$64),$B$53=1),$M$64,HLOOKUP(INDIRECT(ADDRESS(2,COLUMN())),OFFSET($BM$2,0,0,ROW()-1,59),ROW()-1,FALSE))</f>
        <v>24000</v>
      </c>
      <c r="N12">
        <f ca="1">IF(AND(ISNUMBER($N$64),$B$53=1),$N$64,HLOOKUP(INDIRECT(ADDRESS(2,COLUMN())),OFFSET($BM$2,0,0,ROW()-1,59),ROW()-1,FALSE))</f>
        <v>23088</v>
      </c>
      <c r="O12">
        <f ca="1">IF(AND(ISNUMBER($O$64),$B$53=1),$O$64,HLOOKUP(INDIRECT(ADDRESS(2,COLUMN())),OFFSET($BM$2,0,0,ROW()-1,59),ROW()-1,FALSE))</f>
        <v>21800</v>
      </c>
      <c r="P12">
        <f ca="1">IF(AND(ISNUMBER($P$64),$B$53=1),$P$64,HLOOKUP(INDIRECT(ADDRESS(2,COLUMN())),OFFSET($BM$2,0,0,ROW()-1,59),ROW()-1,FALSE))</f>
        <v>23800</v>
      </c>
      <c r="Q12">
        <f ca="1">IF(AND(ISNUMBER($Q$64),$B$53=1),$Q$64,HLOOKUP(INDIRECT(ADDRESS(2,COLUMN())),OFFSET($BM$2,0,0,ROW()-1,59),ROW()-1,FALSE))</f>
        <v>23900</v>
      </c>
      <c r="R12" t="str">
        <f ca="1">IF(AND(ISNUMBER($R$64),$B$53=1),$R$64,HLOOKUP(INDIRECT(ADDRESS(2,COLUMN())),OFFSET($BM$2,0,0,ROW()-1,59),ROW()-1,FALSE))</f>
        <v/>
      </c>
      <c r="S12">
        <f ca="1">IF(AND(ISNUMBER($S$64),$B$53=1),$S$64,HLOOKUP(INDIRECT(ADDRESS(2,COLUMN())),OFFSET($BM$2,0,0,ROW()-1,59),ROW()-1,FALSE))</f>
        <v>23663</v>
      </c>
      <c r="T12">
        <f ca="1">IF(AND(ISNUMBER($T$64),$B$53=1),$T$64,HLOOKUP(INDIRECT(ADDRESS(2,COLUMN())),OFFSET($BM$2,0,0,ROW()-1,59),ROW()-1,FALSE))</f>
        <v>23316</v>
      </c>
      <c r="U12">
        <f ca="1">IF(AND(ISNUMBER($U$64),$B$53=1),$U$64,HLOOKUP(INDIRECT(ADDRESS(2,COLUMN())),OFFSET($BM$2,0,0,ROW()-1,59),ROW()-1,FALSE))</f>
        <v>20040</v>
      </c>
      <c r="V12">
        <f ca="1">IF(AND(ISNUMBER($V$64),$B$53=1),$V$64,HLOOKUP(INDIRECT(ADDRESS(2,COLUMN())),OFFSET($BM$2,0,0,ROW()-1,59),ROW()-1,FALSE))</f>
        <v>20881</v>
      </c>
      <c r="W12">
        <f ca="1">IF(AND(ISNUMBER($W$64),$B$53=1),$W$64,HLOOKUP(INDIRECT(ADDRESS(2,COLUMN())),OFFSET($BM$2,0,0,ROW()-1,59),ROW()-1,FALSE))</f>
        <v>19942</v>
      </c>
      <c r="X12">
        <f ca="1">IF(AND(ISNUMBER($X$64),$B$53=1),$X$64,HLOOKUP(INDIRECT(ADDRESS(2,COLUMN())),OFFSET($BM$2,0,0,ROW()-1,59),ROW()-1,FALSE))</f>
        <v>21108</v>
      </c>
      <c r="Y12">
        <f ca="1">IF(AND(ISNUMBER($Y$64),$B$53=1),$Y$64,HLOOKUP(INDIRECT(ADDRESS(2,COLUMN())),OFFSET($BM$2,0,0,ROW()-1,59),ROW()-1,FALSE))</f>
        <v>20445</v>
      </c>
      <c r="Z12">
        <f ca="1">IF(AND(ISNUMBER($Z$64),$B$53=1),$Z$64,HLOOKUP(INDIRECT(ADDRESS(2,COLUMN())),OFFSET($BM$2,0,0,ROW()-1,59),ROW()-1,FALSE))</f>
        <v>22035</v>
      </c>
      <c r="AA12">
        <f ca="1">IF(AND(ISNUMBER($AA$64),$B$53=1),$AA$64,HLOOKUP(INDIRECT(ADDRESS(2,COLUMN())),OFFSET($BM$2,0,0,ROW()-1,59),ROW()-1,FALSE))</f>
        <v>21121</v>
      </c>
      <c r="AB12">
        <f ca="1">IF(AND(ISNUMBER($AB$64),$B$53=1),$AB$64,HLOOKUP(INDIRECT(ADDRESS(2,COLUMN())),OFFSET($BM$2,0,0,ROW()-1,59),ROW()-1,FALSE))</f>
        <v>21845</v>
      </c>
      <c r="AC12">
        <f ca="1">IF(AND(ISNUMBER($AC$64),$B$53=1),$AC$64,HLOOKUP(INDIRECT(ADDRESS(2,COLUMN())),OFFSET($BM$2,0,0,ROW()-1,59),ROW()-1,FALSE))</f>
        <v>21493</v>
      </c>
      <c r="AD12">
        <f ca="1">IF(AND(ISNUMBER($AD$64),$B$53=1),$AD$64,HLOOKUP(INDIRECT(ADDRESS(2,COLUMN())),OFFSET($BM$2,0,0,ROW()-1,59),ROW()-1,FALSE))</f>
        <v>22100</v>
      </c>
      <c r="AE12">
        <f ca="1">IF(AND(ISNUMBER($AE$64),$B$53=1),$AE$64,HLOOKUP(INDIRECT(ADDRESS(2,COLUMN())),OFFSET($BM$2,0,0,ROW()-1,59),ROW()-1,FALSE))</f>
        <v>19438</v>
      </c>
      <c r="AF12">
        <f ca="1">IF(AND(ISNUMBER($AF$64),$B$53=1),$AF$64,HLOOKUP(INDIRECT(ADDRESS(2,COLUMN())),OFFSET($BM$2,0,0,ROW()-1,59),ROW()-1,FALSE))</f>
        <v>19710</v>
      </c>
      <c r="AG12">
        <f ca="1">IF(AND(ISNUMBER($AG$64),$B$53=1),$AG$64,HLOOKUP(INDIRECT(ADDRESS(2,COLUMN())),OFFSET($BM$2,0,0,ROW()-1,59),ROW()-1,FALSE))</f>
        <v>18599</v>
      </c>
      <c r="AH12">
        <f ca="1">IF(AND(ISNUMBER($AH$64),$B$53=1),$AH$64,HLOOKUP(INDIRECT(ADDRESS(2,COLUMN())),OFFSET($BM$2,0,0,ROW()-1,59),ROW()-1,FALSE))</f>
        <v>19600</v>
      </c>
      <c r="AI12">
        <f ca="1">IF(AND(ISNUMBER($AI$64),$B$53=1),$AI$64,HLOOKUP(INDIRECT(ADDRESS(2,COLUMN())),OFFSET($BM$2,0,0,ROW()-1,59),ROW()-1,FALSE))</f>
        <v>17927</v>
      </c>
      <c r="AJ12">
        <f ca="1">IF(AND(ISNUMBER($AJ$64),$B$53=1),$AJ$64,HLOOKUP(INDIRECT(ADDRESS(2,COLUMN())),OFFSET($BM$2,0,0,ROW()-1,59),ROW()-1,FALSE))</f>
        <v>19446</v>
      </c>
      <c r="AK12">
        <f ca="1">IF(AND(ISNUMBER($AK$64),$B$53=1),$AK$64,HLOOKUP(INDIRECT(ADDRESS(2,COLUMN())),OFFSET($BM$2,0,0,ROW()-1,59),ROW()-1,FALSE))</f>
        <v>17957</v>
      </c>
      <c r="AL12">
        <f ca="1">IF(AND(ISNUMBER($AL$64),$B$53=1),$AL$64,HLOOKUP(INDIRECT(ADDRESS(2,COLUMN())),OFFSET($BM$2,0,0,ROW()-1,59),ROW()-1,FALSE))</f>
        <v>16073</v>
      </c>
      <c r="AM12">
        <f ca="1">IF(AND(ISNUMBER($AM$64),$B$53=1),$AM$64,HLOOKUP(INDIRECT(ADDRESS(2,COLUMN())),OFFSET($BM$2,0,0,ROW()-1,59),ROW()-1,FALSE))</f>
        <v>16205</v>
      </c>
      <c r="AN12">
        <f ca="1">IF(AND(ISNUMBER($AN$64),$B$53=1),$AN$64,HLOOKUP(INDIRECT(ADDRESS(2,COLUMN())),OFFSET($BM$2,0,0,ROW()-1,59),ROW()-1,FALSE))</f>
        <v>16908</v>
      </c>
      <c r="AO12">
        <f ca="1">IF(AND(ISNUMBER($AO$64),$B$53=1),$AO$64,HLOOKUP(INDIRECT(ADDRESS(2,COLUMN())),OFFSET($BM$2,0,0,ROW()-1,59),ROW()-1,FALSE))</f>
        <v>14132</v>
      </c>
      <c r="AP12">
        <f ca="1">IF(AND(ISNUMBER($AP$64),$B$53=1),$AP$64,HLOOKUP(INDIRECT(ADDRESS(2,COLUMN())),OFFSET($BM$2,0,0,ROW()-1,59),ROW()-1,FALSE))</f>
        <v>12000</v>
      </c>
      <c r="AQ12">
        <f ca="1">IF(AND(ISNUMBER($AQ$64),$B$53=1),$AQ$64,HLOOKUP(INDIRECT(ADDRESS(2,COLUMN())),OFFSET($BM$2,0,0,ROW()-1,59),ROW()-1,FALSE))</f>
        <v>13420</v>
      </c>
      <c r="AR12">
        <f ca="1">IF(AND(ISNUMBER($AR$64),$B$53=1),$AR$64,HLOOKUP(INDIRECT(ADDRESS(2,COLUMN())),OFFSET($BM$2,0,0,ROW()-1,59),ROW()-1,FALSE))</f>
        <v>10744</v>
      </c>
      <c r="AS12">
        <f ca="1">IF(AND(ISNUMBER($AS$64),$B$53=1),$AS$64,HLOOKUP(INDIRECT(ADDRESS(2,COLUMN())),OFFSET($BM$2,0,0,ROW()-1,59),ROW()-1,FALSE))</f>
        <v>10018</v>
      </c>
      <c r="AT12" t="str">
        <f ca="1">IF(AND(ISNUMBER($AT$64),$B$53=1),$AT$64,HLOOKUP(INDIRECT(ADDRESS(2,COLUMN())),OFFSET($BM$2,0,0,ROW()-1,59),ROW()-1,FALSE))</f>
        <v/>
      </c>
      <c r="AU12">
        <f ca="1">IF(AND(ISNUMBER($AU$64),$B$53=1),$AU$64,HLOOKUP(INDIRECT(ADDRESS(2,COLUMN())),OFFSET($BM$2,0,0,ROW()-1,59),ROW()-1,FALSE))</f>
        <v>10748</v>
      </c>
      <c r="AV12">
        <f ca="1">IF(AND(ISNUMBER($AV$64),$B$53=1),$AV$64,HLOOKUP(INDIRECT(ADDRESS(2,COLUMN())),OFFSET($BM$2,0,0,ROW()-1,59),ROW()-1,FALSE))</f>
        <v>14219</v>
      </c>
      <c r="AW12">
        <f ca="1">IF(AND(ISNUMBER($AW$64),$B$53=1),$AW$64,HLOOKUP(INDIRECT(ADDRESS(2,COLUMN())),OFFSET($BM$2,0,0,ROW()-1,59),ROW()-1,FALSE))</f>
        <v>17110</v>
      </c>
      <c r="AX12">
        <f ca="1">IF(AND(ISNUMBER($AX$64),$B$53=1),$AX$64,HLOOKUP(INDIRECT(ADDRESS(2,COLUMN())),OFFSET($BM$2,0,0,ROW()-1,59),ROW()-1,FALSE))</f>
        <v>26836</v>
      </c>
      <c r="AY12">
        <f ca="1">IF(AND(ISNUMBER($AY$64),$B$53=1),$AY$64,HLOOKUP(INDIRECT(ADDRESS(2,COLUMN())),OFFSET($BM$2,0,0,ROW()-1,59),ROW()-1,FALSE))</f>
        <v>16688</v>
      </c>
      <c r="AZ12">
        <f ca="1">IF(AND(ISNUMBER($AZ$64),$B$53=1),$AZ$64,HLOOKUP(INDIRECT(ADDRESS(2,COLUMN())),OFFSET($BM$2,0,0,ROW()-1,59),ROW()-1,FALSE))</f>
        <v>18791</v>
      </c>
      <c r="BA12">
        <f ca="1">IF(AND(ISNUMBER($BA$64),$B$53=1),$BA$64,HLOOKUP(INDIRECT(ADDRESS(2,COLUMN())),OFFSET($BM$2,0,0,ROW()-1,59),ROW()-1,FALSE))</f>
        <v>18559</v>
      </c>
      <c r="BB12">
        <f ca="1">IF(AND(ISNUMBER($BB$64),$B$53=1),$BB$64,HLOOKUP(INDIRECT(ADDRESS(2,COLUMN())),OFFSET($BM$2,0,0,ROW()-1,59),ROW()-1,FALSE))</f>
        <v>26804</v>
      </c>
      <c r="BC12">
        <f ca="1">IF(AND(ISNUMBER($BC$64),$B$53=1),$BC$64,HLOOKUP(INDIRECT(ADDRESS(2,COLUMN())),OFFSET($BM$2,0,0,ROW()-1,59),ROW()-1,FALSE))</f>
        <v>15380</v>
      </c>
      <c r="BD12">
        <f ca="1">IF(AND(ISNUMBER($BD$64),$B$53=1),$BD$64,HLOOKUP(INDIRECT(ADDRESS(2,COLUMN())),OFFSET($BM$2,0,0,ROW()-1,59),ROW()-1,FALSE))</f>
        <v>19155</v>
      </c>
      <c r="BE12" t="str">
        <f ca="1">IF(AND(ISNUMBER($BE$64),$B$53=1),$BE$64,HLOOKUP(INDIRECT(ADDRESS(2,COLUMN())),OFFSET($BM$2,0,0,ROW()-1,59),ROW()-1,FALSE))</f>
        <v/>
      </c>
      <c r="BF12" t="str">
        <f ca="1">IF(AND(ISNUMBER($BF$64),$B$53=1),$BF$64,HLOOKUP(INDIRECT(ADDRESS(2,COLUMN())),OFFSET($BM$2,0,0,ROW()-1,59),ROW()-1,FALSE))</f>
        <v/>
      </c>
      <c r="BG12">
        <f ca="1">IF(AND(ISNUMBER($BG$64),$B$53=1),$BG$64,HLOOKUP(INDIRECT(ADDRESS(2,COLUMN())),OFFSET($BM$2,0,0,ROW()-1,59),ROW()-1,FALSE))</f>
        <v>18187</v>
      </c>
      <c r="BH12">
        <f ca="1">IF(AND(ISNUMBER($BH$64),$B$53=1),$BH$64,HLOOKUP(INDIRECT(ADDRESS(2,COLUMN())),OFFSET($BM$2,0,0,ROW()-1,59),ROW()-1,FALSE))</f>
        <v>19932</v>
      </c>
      <c r="BI12" t="str">
        <f ca="1">IF(AND(ISNUMBER($BI$64),$B$53=1),$BI$64,HLOOKUP(INDIRECT(ADDRESS(2,COLUMN())),OFFSET($BM$2,0,0,ROW()-1,59),ROW()-1,FALSE))</f>
        <v/>
      </c>
      <c r="BJ12" t="str">
        <f ca="1">IF(AND(ISNUMBER($BJ$64),$B$53=1),$BJ$64,HLOOKUP(INDIRECT(ADDRESS(2,COLUMN())),OFFSET($BM$2,0,0,ROW()-1,59),ROW()-1,FALSE))</f>
        <v/>
      </c>
      <c r="BK12" t="str">
        <f ca="1">IF(AND(ISNUMBER($BK$64),$B$53=1),$BK$64,HLOOKUP(INDIRECT(ADDRESS(2,COLUMN())),OFFSET($BM$2,0,0,ROW()-1,59),ROW()-1,FALSE))</f>
        <v/>
      </c>
      <c r="BL12" t="str">
        <f ca="1">IF(AND(ISNUMBER($BL$64),$B$53=1),$BL$64,HLOOKUP(INDIRECT(ADDRESS(2,COLUMN())),OFFSET($BM$2,0,0,ROW()-1,59),ROW()-1,FALSE))</f>
        <v/>
      </c>
      <c r="BM12">
        <f>25800</f>
        <v>25800</v>
      </c>
      <c r="BN12">
        <f>22300</f>
        <v>22300</v>
      </c>
      <c r="BO12">
        <f>23700</f>
        <v>23700</v>
      </c>
      <c r="BP12">
        <f>24800</f>
        <v>24800</v>
      </c>
      <c r="BQ12">
        <f>24100</f>
        <v>24100</v>
      </c>
      <c r="BR12">
        <f>20900</f>
        <v>20900</v>
      </c>
      <c r="BS12">
        <f>24500</f>
        <v>24500</v>
      </c>
      <c r="BT12">
        <f>24000</f>
        <v>24000</v>
      </c>
      <c r="BU12">
        <f>23088</f>
        <v>23088</v>
      </c>
      <c r="BV12">
        <f>21800</f>
        <v>21800</v>
      </c>
      <c r="BW12">
        <f>23800</f>
        <v>23800</v>
      </c>
      <c r="BX12">
        <f>23900</f>
        <v>23900</v>
      </c>
      <c r="BY12" t="str">
        <f>""</f>
        <v/>
      </c>
      <c r="BZ12">
        <f>23663</f>
        <v>23663</v>
      </c>
      <c r="CA12">
        <f>23316</f>
        <v>23316</v>
      </c>
      <c r="CB12">
        <f>20040</f>
        <v>20040</v>
      </c>
      <c r="CC12">
        <f>20881</f>
        <v>20881</v>
      </c>
      <c r="CD12">
        <f>19942</f>
        <v>19942</v>
      </c>
      <c r="CE12">
        <f>21108</f>
        <v>21108</v>
      </c>
      <c r="CF12">
        <f>20445</f>
        <v>20445</v>
      </c>
      <c r="CG12">
        <f>22035</f>
        <v>22035</v>
      </c>
      <c r="CH12">
        <f>21121</f>
        <v>21121</v>
      </c>
      <c r="CI12">
        <f>21845</f>
        <v>21845</v>
      </c>
      <c r="CJ12">
        <f>21493</f>
        <v>21493</v>
      </c>
      <c r="CK12">
        <f>22100</f>
        <v>22100</v>
      </c>
      <c r="CL12">
        <f>19438</f>
        <v>19438</v>
      </c>
      <c r="CM12">
        <f>19710</f>
        <v>19710</v>
      </c>
      <c r="CN12">
        <f>18599</f>
        <v>18599</v>
      </c>
      <c r="CO12">
        <f>19600</f>
        <v>19600</v>
      </c>
      <c r="CP12">
        <f>17927</f>
        <v>17927</v>
      </c>
      <c r="CQ12">
        <f>19446</f>
        <v>19446</v>
      </c>
      <c r="CR12">
        <f>17957</f>
        <v>17957</v>
      </c>
      <c r="CS12">
        <f>16073</f>
        <v>16073</v>
      </c>
      <c r="CT12">
        <f>16205</f>
        <v>16205</v>
      </c>
      <c r="CU12">
        <f>16908</f>
        <v>16908</v>
      </c>
      <c r="CV12">
        <f>14132</f>
        <v>14132</v>
      </c>
      <c r="CW12">
        <f>12000</f>
        <v>12000</v>
      </c>
      <c r="CX12">
        <f>13420</f>
        <v>13420</v>
      </c>
      <c r="CY12">
        <f>10744</f>
        <v>10744</v>
      </c>
      <c r="CZ12">
        <f>10018</f>
        <v>10018</v>
      </c>
      <c r="DA12" t="str">
        <f>""</f>
        <v/>
      </c>
      <c r="DB12">
        <f>10748</f>
        <v>10748</v>
      </c>
      <c r="DC12">
        <f>14219</f>
        <v>14219</v>
      </c>
      <c r="DD12">
        <f>17110</f>
        <v>17110</v>
      </c>
      <c r="DE12">
        <f>26836</f>
        <v>26836</v>
      </c>
      <c r="DF12">
        <f>16688</f>
        <v>16688</v>
      </c>
      <c r="DG12">
        <f>18791</f>
        <v>18791</v>
      </c>
      <c r="DH12">
        <f>18559</f>
        <v>18559</v>
      </c>
      <c r="DI12">
        <f>26804</f>
        <v>26804</v>
      </c>
      <c r="DJ12">
        <f>15380</f>
        <v>15380</v>
      </c>
      <c r="DK12">
        <f>19155</f>
        <v>19155</v>
      </c>
      <c r="DL12" t="str">
        <f>""</f>
        <v/>
      </c>
      <c r="DM12" t="str">
        <f>""</f>
        <v/>
      </c>
      <c r="DN12">
        <f>18187</f>
        <v>18187</v>
      </c>
      <c r="DO12">
        <f>19932</f>
        <v>19932</v>
      </c>
      <c r="DP12" t="str">
        <f>""</f>
        <v/>
      </c>
      <c r="DQ12" t="str">
        <f>""</f>
        <v/>
      </c>
      <c r="DR12" t="str">
        <f>""</f>
        <v/>
      </c>
      <c r="DS12" t="str">
        <f>""</f>
        <v/>
      </c>
    </row>
    <row r="13" spans="1:123" x14ac:dyDescent="0.25">
      <c r="A13" t="str">
        <f>"By Geography ($M) - Honda"</f>
        <v>By Geography ($M) - Honda</v>
      </c>
      <c r="B13" t="str">
        <f>"7267 JP Equity"</f>
        <v>7267 JP Equity</v>
      </c>
      <c r="C13" t="str">
        <f>"IS010"</f>
        <v>IS010</v>
      </c>
      <c r="D13" t="str">
        <f>"SALES_REV_TURN"</f>
        <v>SALES_REV_TURN</v>
      </c>
      <c r="E13" t="str">
        <f t="shared" si="0"/>
        <v>Dynamic</v>
      </c>
      <c r="F13">
        <f ca="1">IF(AND(ISNUMBER($F$65),$B$53=1),$F$65,HLOOKUP(INDIRECT(ADDRESS(2,COLUMN())),OFFSET($BM$2,0,0,ROW()-1,59),ROW()-1,FALSE))</f>
        <v>35249.556940000002</v>
      </c>
      <c r="G13">
        <f ca="1">IF(AND(ISNUMBER($G$65),$B$53=1),$G$65,HLOOKUP(INDIRECT(ADDRESS(2,COLUMN())),OFFSET($BM$2,0,0,ROW()-1,59),ROW()-1,FALSE))</f>
        <v>34458.014940000001</v>
      </c>
      <c r="H13">
        <f ca="1">IF(AND(ISNUMBER($H$65),$B$53=1),$H$65,HLOOKUP(INDIRECT(ADDRESS(2,COLUMN())),OFFSET($BM$2,0,0,ROW()-1,59),ROW()-1,FALSE))</f>
        <v>36884.18361</v>
      </c>
      <c r="I13">
        <f ca="1">IF(AND(ISNUMBER($I$65),$B$53=1),$I$65,HLOOKUP(INDIRECT(ADDRESS(2,COLUMN())),OFFSET($BM$2,0,0,ROW()-1,59),ROW()-1,FALSE))</f>
        <v>36140.929620000003</v>
      </c>
      <c r="J13">
        <f ca="1">IF(AND(ISNUMBER($J$65),$B$53=1),$J$65,HLOOKUP(INDIRECT(ADDRESS(2,COLUMN())),OFFSET($BM$2,0,0,ROW()-1,59),ROW()-1,FALSE))</f>
        <v>35056.18881</v>
      </c>
      <c r="K13">
        <f ca="1">IF(AND(ISNUMBER($K$65),$B$53=1),$K$65,HLOOKUP(INDIRECT(ADDRESS(2,COLUMN())),OFFSET($BM$2,0,0,ROW()-1,59),ROW()-1,FALSE))</f>
        <v>34033.454149999998</v>
      </c>
      <c r="L13">
        <f ca="1">IF(AND(ISNUMBER($L$65),$B$53=1),$L$65,HLOOKUP(INDIRECT(ADDRESS(2,COLUMN())),OFFSET($BM$2,0,0,ROW()-1,59),ROW()-1,FALSE))</f>
        <v>33416.575850000001</v>
      </c>
      <c r="M13">
        <f ca="1">IF(AND(ISNUMBER($M$65),$B$53=1),$M$65,HLOOKUP(INDIRECT(ADDRESS(2,COLUMN())),OFFSET($BM$2,0,0,ROW()-1,59),ROW()-1,FALSE))</f>
        <v>33135.989320000001</v>
      </c>
      <c r="N13">
        <f ca="1">IF(AND(ISNUMBER($N$65),$B$53=1),$N$65,HLOOKUP(INDIRECT(ADDRESS(2,COLUMN())),OFFSET($BM$2,0,0,ROW()-1,59),ROW()-1,FALSE))</f>
        <v>32030.48832</v>
      </c>
      <c r="O13">
        <f ca="1">IF(AND(ISNUMBER($O$65),$B$53=1),$O$65,HLOOKUP(INDIRECT(ADDRESS(2,COLUMN())),OFFSET($BM$2,0,0,ROW()-1,59),ROW()-1,FALSE))</f>
        <v>31884.642899999999</v>
      </c>
      <c r="P13">
        <f ca="1">IF(AND(ISNUMBER($P$65),$B$53=1),$P$65,HLOOKUP(INDIRECT(ADDRESS(2,COLUMN())),OFFSET($BM$2,0,0,ROW()-1,59),ROW()-1,FALSE))</f>
        <v>32178.227510000001</v>
      </c>
      <c r="Q13">
        <f ca="1">IF(AND(ISNUMBER($Q$65),$B$53=1),$Q$65,HLOOKUP(INDIRECT(ADDRESS(2,COLUMN())),OFFSET($BM$2,0,0,ROW()-1,59),ROW()-1,FALSE))</f>
        <v>31761.490570000002</v>
      </c>
      <c r="R13">
        <f ca="1">IF(AND(ISNUMBER($R$65),$B$53=1),$R$65,HLOOKUP(INDIRECT(ADDRESS(2,COLUMN())),OFFSET($BM$2,0,0,ROW()-1,59),ROW()-1,FALSE))</f>
        <v>29795.791369999999</v>
      </c>
      <c r="S13">
        <f ca="1">IF(AND(ISNUMBER($S$65),$B$53=1),$S$65,HLOOKUP(INDIRECT(ADDRESS(2,COLUMN())),OFFSET($BM$2,0,0,ROW()-1,59),ROW()-1,FALSE))</f>
        <v>29651.422200000001</v>
      </c>
      <c r="T13">
        <f ca="1">IF(AND(ISNUMBER($T$65),$B$53=1),$T$65,HLOOKUP(INDIRECT(ADDRESS(2,COLUMN())),OFFSET($BM$2,0,0,ROW()-1,59),ROW()-1,FALSE))</f>
        <v>30534.480449999999</v>
      </c>
      <c r="U13">
        <f ca="1">IF(AND(ISNUMBER($U$65),$B$53=1),$U$65,HLOOKUP(INDIRECT(ADDRESS(2,COLUMN())),OFFSET($BM$2,0,0,ROW()-1,59),ROW()-1,FALSE))</f>
        <v>28144.131440000001</v>
      </c>
      <c r="V13">
        <f ca="1">IF(AND(ISNUMBER($V$65),$B$53=1),$V$65,HLOOKUP(INDIRECT(ADDRESS(2,COLUMN())),OFFSET($BM$2,0,0,ROW()-1,59),ROW()-1,FALSE))</f>
        <v>30602.330979999999</v>
      </c>
      <c r="W13">
        <f ca="1">IF(AND(ISNUMBER($W$65),$B$53=1),$W$65,HLOOKUP(INDIRECT(ADDRESS(2,COLUMN())),OFFSET($BM$2,0,0,ROW()-1,59),ROW()-1,FALSE))</f>
        <v>30135.248869999999</v>
      </c>
      <c r="X13">
        <f ca="1">IF(AND(ISNUMBER($X$65),$B$53=1),$X$65,HLOOKUP(INDIRECT(ADDRESS(2,COLUMN())),OFFSET($BM$2,0,0,ROW()-1,59),ROW()-1,FALSE))</f>
        <v>31404.9035</v>
      </c>
      <c r="Y13">
        <f ca="1">IF(AND(ISNUMBER($Y$65),$B$53=1),$Y$65,HLOOKUP(INDIRECT(ADDRESS(2,COLUMN())),OFFSET($BM$2,0,0,ROW()-1,59),ROW()-1,FALSE))</f>
        <v>30131.038629999999</v>
      </c>
      <c r="Z13">
        <f ca="1">IF(AND(ISNUMBER($Z$65),$B$53=1),$Z$65,HLOOKUP(INDIRECT(ADDRESS(2,COLUMN())),OFFSET($BM$2,0,0,ROW()-1,59),ROW()-1,FALSE))</f>
        <v>30093.608639999999</v>
      </c>
      <c r="AA13">
        <f ca="1">IF(AND(ISNUMBER($AA$65),$B$53=1),$AA$65,HLOOKUP(INDIRECT(ADDRESS(2,COLUMN())),OFFSET($BM$2,0,0,ROW()-1,59),ROW()-1,FALSE))</f>
        <v>29217.563610000001</v>
      </c>
      <c r="AB13">
        <f ca="1">IF(AND(ISNUMBER($AB$65),$B$53=1),$AB$65,HLOOKUP(INDIRECT(ADDRESS(2,COLUMN())),OFFSET($BM$2,0,0,ROW()-1,59),ROW()-1,FALSE))</f>
        <v>28727.82618</v>
      </c>
      <c r="AC13">
        <f ca="1">IF(AND(ISNUMBER($AC$65),$B$53=1),$AC$65,HLOOKUP(INDIRECT(ADDRESS(2,COLUMN())),OFFSET($BM$2,0,0,ROW()-1,59),ROW()-1,FALSE))</f>
        <v>29800.303779999998</v>
      </c>
      <c r="AD13">
        <f ca="1">IF(AND(ISNUMBER($AD$65),$B$53=1),$AD$65,HLOOKUP(INDIRECT(ADDRESS(2,COLUMN())),OFFSET($BM$2,0,0,ROW()-1,59),ROW()-1,FALSE))</f>
        <v>29892.109700000001</v>
      </c>
      <c r="AE13">
        <f ca="1">IF(AND(ISNUMBER($AE$65),$B$53=1),$AE$65,HLOOKUP(INDIRECT(ADDRESS(2,COLUMN())),OFFSET($BM$2,0,0,ROW()-1,59),ROW()-1,FALSE))</f>
        <v>28885.537260000001</v>
      </c>
      <c r="AF13">
        <f ca="1">IF(AND(ISNUMBER($AF$65),$B$53=1),$AF$65,HLOOKUP(INDIRECT(ADDRESS(2,COLUMN())),OFFSET($BM$2,0,0,ROW()-1,59),ROW()-1,FALSE))</f>
        <v>30424.397720000001</v>
      </c>
      <c r="AG13">
        <f ca="1">IF(AND(ISNUMBER($AG$65),$B$53=1),$AG$65,HLOOKUP(INDIRECT(ADDRESS(2,COLUMN())),OFFSET($BM$2,0,0,ROW()-1,59),ROW()-1,FALSE))</f>
        <v>30347.62343</v>
      </c>
      <c r="AH13">
        <f ca="1">IF(AND(ISNUMBER($AH$65),$B$53=1),$AH$65,HLOOKUP(INDIRECT(ADDRESS(2,COLUMN())),OFFSET($BM$2,0,0,ROW()-1,59),ROW()-1,FALSE))</f>
        <v>25116.371230000001</v>
      </c>
      <c r="AI13">
        <f ca="1">IF(AND(ISNUMBER($AI$65),$B$53=1),$AI$65,HLOOKUP(INDIRECT(ADDRESS(2,COLUMN())),OFFSET($BM$2,0,0,ROW()-1,59),ROW()-1,FALSE))</f>
        <v>24286.376469999999</v>
      </c>
      <c r="AJ13">
        <f ca="1">IF(AND(ISNUMBER($AJ$65),$B$53=1),$AJ$65,HLOOKUP(INDIRECT(ADDRESS(2,COLUMN())),OFFSET($BM$2,0,0,ROW()-1,59),ROW()-1,FALSE))</f>
        <v>21031.771570000001</v>
      </c>
      <c r="AK13">
        <f ca="1">IF(AND(ISNUMBER($AK$65),$B$53=1),$AK$65,HLOOKUP(INDIRECT(ADDRESS(2,COLUMN())),OFFSET($BM$2,0,0,ROW()-1,59),ROW()-1,FALSE))</f>
        <v>26914.045900000001</v>
      </c>
      <c r="AL13">
        <f ca="1">IF(AND(ISNUMBER($AL$65),$B$53=1),$AL$65,HLOOKUP(INDIRECT(ADDRESS(2,COLUMN())),OFFSET($BM$2,0,0,ROW()-1,59),ROW()-1,FALSE))</f>
        <v>25570.3878</v>
      </c>
      <c r="AM13">
        <f ca="1">IF(AND(ISNUMBER($AM$65),$B$53=1),$AM$65,HLOOKUP(INDIRECT(ADDRESS(2,COLUMN())),OFFSET($BM$2,0,0,ROW()-1,59),ROW()-1,FALSE))</f>
        <v>26267.020680000001</v>
      </c>
      <c r="AN13">
        <f ca="1">IF(AND(ISNUMBER($AN$65),$B$53=1),$AN$65,HLOOKUP(INDIRECT(ADDRESS(2,COLUMN())),OFFSET($BM$2,0,0,ROW()-1,59),ROW()-1,FALSE))</f>
        <v>25655.677500000002</v>
      </c>
      <c r="AO13">
        <f ca="1">IF(AND(ISNUMBER($AO$65),$B$53=1),$AO$65,HLOOKUP(INDIRECT(ADDRESS(2,COLUMN())),OFFSET($BM$2,0,0,ROW()-1,59),ROW()-1,FALSE))</f>
        <v>25141.954430000002</v>
      </c>
      <c r="AP13">
        <f ca="1">IF(AND(ISNUMBER($AP$65),$B$53=1),$AP$65,HLOOKUP(INDIRECT(ADDRESS(2,COLUMN())),OFFSET($BM$2,0,0,ROW()-1,59),ROW()-1,FALSE))</f>
        <v>24946.14572</v>
      </c>
      <c r="AQ13">
        <f ca="1">IF(AND(ISNUMBER($AQ$65),$B$53=1),$AQ$65,HLOOKUP(INDIRECT(ADDRESS(2,COLUMN())),OFFSET($BM$2,0,0,ROW()-1,59),ROW()-1,FALSE))</f>
        <v>21993.99711</v>
      </c>
      <c r="AR13">
        <f ca="1">IF(AND(ISNUMBER($AR$65),$B$53=1),$AR$65,HLOOKUP(INDIRECT(ADDRESS(2,COLUMN())),OFFSET($BM$2,0,0,ROW()-1,59),ROW()-1,FALSE))</f>
        <v>20574.74237</v>
      </c>
      <c r="AS13">
        <f ca="1">IF(AND(ISNUMBER($AS$65),$B$53=1),$AS$65,HLOOKUP(INDIRECT(ADDRESS(2,COLUMN())),OFFSET($BM$2,0,0,ROW()-1,59),ROW()-1,FALSE))</f>
        <v>19070.704040000001</v>
      </c>
      <c r="AT13">
        <f ca="1">IF(AND(ISNUMBER($AT$65),$B$53=1),$AT$65,HLOOKUP(INDIRECT(ADDRESS(2,COLUMN())),OFFSET($BM$2,0,0,ROW()-1,59),ROW()-1,FALSE))</f>
        <v>26430.684710000001</v>
      </c>
      <c r="AU13">
        <f ca="1">IF(AND(ISNUMBER($AU$65),$B$53=1),$AU$65,HLOOKUP(INDIRECT(ADDRESS(2,COLUMN())),OFFSET($BM$2,0,0,ROW()-1,59),ROW()-1,FALSE))</f>
        <v>26279.20895</v>
      </c>
      <c r="AV13">
        <f ca="1">IF(AND(ISNUMBER($AV$65),$B$53=1),$AV$65,HLOOKUP(INDIRECT(ADDRESS(2,COLUMN())),OFFSET($BM$2,0,0,ROW()-1,59),ROW()-1,FALSE))</f>
        <v>27415.487570000001</v>
      </c>
      <c r="AW13">
        <f ca="1">IF(AND(ISNUMBER($AW$65),$B$53=1),$AW$65,HLOOKUP(INDIRECT(ADDRESS(2,COLUMN())),OFFSET($BM$2,0,0,ROW()-1,59),ROW()-1,FALSE))</f>
        <v>29043.585080000001</v>
      </c>
      <c r="AX13">
        <f ca="1">IF(AND(ISNUMBER($AX$65),$B$53=1),$AX$65,HLOOKUP(INDIRECT(ADDRESS(2,COLUMN())),OFFSET($BM$2,0,0,ROW()-1,59),ROW()-1,FALSE))</f>
        <v>26917.485100000002</v>
      </c>
      <c r="AY13">
        <f ca="1">IF(AND(ISNUMBER($AY$65),$B$53=1),$AY$65,HLOOKUP(INDIRECT(ADDRESS(2,COLUMN())),OFFSET($BM$2,0,0,ROW()-1,59),ROW()-1,FALSE))</f>
        <v>25240.932830000002</v>
      </c>
      <c r="AZ13">
        <f ca="1">IF(AND(ISNUMBER($AZ$65),$B$53=1),$AZ$65,HLOOKUP(INDIRECT(ADDRESS(2,COLUMN())),OFFSET($BM$2,0,0,ROW()-1,59),ROW()-1,FALSE))</f>
        <v>24266.914669999998</v>
      </c>
      <c r="BA13">
        <f ca="1">IF(AND(ISNUMBER($BA$65),$B$53=1),$BA$65,HLOOKUP(INDIRECT(ADDRESS(2,COLUMN())),OFFSET($BM$2,0,0,ROW()-1,59),ROW()-1,FALSE))</f>
        <v>25872.96355</v>
      </c>
      <c r="BB13">
        <f ca="1">IF(AND(ISNUMBER($BB$65),$B$53=1),$BB$65,HLOOKUP(INDIRECT(ADDRESS(2,COLUMN())),OFFSET($BM$2,0,0,ROW()-1,59),ROW()-1,FALSE))</f>
        <v>23510.714749999999</v>
      </c>
      <c r="BC13">
        <f ca="1">IF(AND(ISNUMBER($BC$65),$B$53=1),$BC$65,HLOOKUP(INDIRECT(ADDRESS(2,COLUMN())),OFFSET($BM$2,0,0,ROW()-1,59),ROW()-1,FALSE))</f>
        <v>22628.39532</v>
      </c>
      <c r="BD13">
        <f ca="1">IF(AND(ISNUMBER($BD$65),$B$53=1),$BD$65,HLOOKUP(INDIRECT(ADDRESS(2,COLUMN())),OFFSET($BM$2,0,0,ROW()-1,59),ROW()-1,FALSE))</f>
        <v>22742.63193</v>
      </c>
      <c r="BE13">
        <f ca="1">IF(AND(ISNUMBER($BE$65),$B$53=1),$BE$65,HLOOKUP(INDIRECT(ADDRESS(2,COLUMN())),OFFSET($BM$2,0,0,ROW()-1,59),ROW()-1,FALSE))</f>
        <v>25425.929599999999</v>
      </c>
      <c r="BF13">
        <f ca="1">IF(AND(ISNUMBER($BF$65),$B$53=1),$BF$65,HLOOKUP(INDIRECT(ADDRESS(2,COLUMN())),OFFSET($BM$2,0,0,ROW()-1,59),ROW()-1,FALSE))</f>
        <v>21085.02462</v>
      </c>
      <c r="BG13">
        <f ca="1">IF(AND(ISNUMBER($BG$65),$B$53=1),$BG$65,HLOOKUP(INDIRECT(ADDRESS(2,COLUMN())),OFFSET($BM$2,0,0,ROW()-1,59),ROW()-1,FALSE))</f>
        <v>21018.834279999999</v>
      </c>
      <c r="BH13">
        <f ca="1">IF(AND(ISNUMBER($BH$65),$B$53=1),$BH$65,HLOOKUP(INDIRECT(ADDRESS(2,COLUMN())),OFFSET($BM$2,0,0,ROW()-1,59),ROW()-1,FALSE))</f>
        <v>21059.35555</v>
      </c>
      <c r="BI13">
        <f ca="1">IF(AND(ISNUMBER($BI$65),$B$53=1),$BI$65,HLOOKUP(INDIRECT(ADDRESS(2,COLUMN())),OFFSET($BM$2,0,0,ROW()-1,59),ROW()-1,FALSE))</f>
        <v>22481.10828</v>
      </c>
      <c r="BJ13">
        <f ca="1">IF(AND(ISNUMBER($BJ$65),$B$53=1),$BJ$65,HLOOKUP(INDIRECT(ADDRESS(2,COLUMN())),OFFSET($BM$2,0,0,ROW()-1,59),ROW()-1,FALSE))</f>
        <v>20199.268220000002</v>
      </c>
      <c r="BK13">
        <f ca="1">IF(AND(ISNUMBER($BK$65),$B$53=1),$BK$65,HLOOKUP(INDIRECT(ADDRESS(2,COLUMN())),OFFSET($BM$2,0,0,ROW()-1,59),ROW()-1,FALSE))</f>
        <v>19047.328590000001</v>
      </c>
      <c r="BL13">
        <f ca="1">IF(AND(ISNUMBER($BL$65),$B$53=1),$BL$65,HLOOKUP(INDIRECT(ADDRESS(2,COLUMN())),OFFSET($BM$2,0,0,ROW()-1,59),ROW()-1,FALSE))</f>
        <v>18907.849770000001</v>
      </c>
      <c r="BM13">
        <f>35249.55694</f>
        <v>35249.556940000002</v>
      </c>
      <c r="BN13">
        <f>34458.01494</f>
        <v>34458.014940000001</v>
      </c>
      <c r="BO13">
        <f>36884.18361</f>
        <v>36884.18361</v>
      </c>
      <c r="BP13">
        <f>36140.92962</f>
        <v>36140.929620000003</v>
      </c>
      <c r="BQ13">
        <f>35056.18881</f>
        <v>35056.18881</v>
      </c>
      <c r="BR13">
        <f>34033.45415</f>
        <v>34033.454149999998</v>
      </c>
      <c r="BS13">
        <f>33416.57585</f>
        <v>33416.575850000001</v>
      </c>
      <c r="BT13">
        <f>33135.98932</f>
        <v>33135.989320000001</v>
      </c>
      <c r="BU13">
        <f>32030.48832</f>
        <v>32030.48832</v>
      </c>
      <c r="BV13">
        <f>31884.6429</f>
        <v>31884.642899999999</v>
      </c>
      <c r="BW13">
        <f>32178.22751</f>
        <v>32178.227510000001</v>
      </c>
      <c r="BX13">
        <f>31761.49057</f>
        <v>31761.490570000002</v>
      </c>
      <c r="BY13">
        <f>29795.79137</f>
        <v>29795.791369999999</v>
      </c>
      <c r="BZ13">
        <f>29651.4222</f>
        <v>29651.422200000001</v>
      </c>
      <c r="CA13">
        <f>30534.48045</f>
        <v>30534.480449999999</v>
      </c>
      <c r="CB13">
        <f>28144.13144</f>
        <v>28144.131440000001</v>
      </c>
      <c r="CC13">
        <f>30602.33098</f>
        <v>30602.330979999999</v>
      </c>
      <c r="CD13">
        <f>30135.24887</f>
        <v>30135.248869999999</v>
      </c>
      <c r="CE13">
        <f>31404.9035</f>
        <v>31404.9035</v>
      </c>
      <c r="CF13">
        <f>30131.03863</f>
        <v>30131.038629999999</v>
      </c>
      <c r="CG13">
        <f>30093.60864</f>
        <v>30093.608639999999</v>
      </c>
      <c r="CH13">
        <f>29217.56361</f>
        <v>29217.563610000001</v>
      </c>
      <c r="CI13">
        <f>28727.82618</f>
        <v>28727.82618</v>
      </c>
      <c r="CJ13">
        <f>29800.30378</f>
        <v>29800.303779999998</v>
      </c>
      <c r="CK13">
        <f>29892.1097</f>
        <v>29892.109700000001</v>
      </c>
      <c r="CL13">
        <f>28885.53726</f>
        <v>28885.537260000001</v>
      </c>
      <c r="CM13">
        <f>30424.39772</f>
        <v>30424.397720000001</v>
      </c>
      <c r="CN13">
        <f>30347.62343</f>
        <v>30347.62343</v>
      </c>
      <c r="CO13">
        <f>25116.37123</f>
        <v>25116.371230000001</v>
      </c>
      <c r="CP13">
        <f>24286.37647</f>
        <v>24286.376469999999</v>
      </c>
      <c r="CQ13">
        <f>21031.77157</f>
        <v>21031.771570000001</v>
      </c>
      <c r="CR13">
        <f>26914.0459</f>
        <v>26914.045900000001</v>
      </c>
      <c r="CS13">
        <f>25570.3878</f>
        <v>25570.3878</v>
      </c>
      <c r="CT13">
        <f>26267.02068</f>
        <v>26267.020680000001</v>
      </c>
      <c r="CU13">
        <f>25655.6775</f>
        <v>25655.677500000002</v>
      </c>
      <c r="CV13">
        <f>25141.95443</f>
        <v>25141.954430000002</v>
      </c>
      <c r="CW13">
        <f>24946.14572</f>
        <v>24946.14572</v>
      </c>
      <c r="CX13">
        <f>21993.99711</f>
        <v>21993.99711</v>
      </c>
      <c r="CY13">
        <f>20574.74237</f>
        <v>20574.74237</v>
      </c>
      <c r="CZ13">
        <f>19070.70404</f>
        <v>19070.704040000001</v>
      </c>
      <c r="DA13">
        <f>26430.68471</f>
        <v>26430.684710000001</v>
      </c>
      <c r="DB13">
        <f>26279.20895</f>
        <v>26279.20895</v>
      </c>
      <c r="DC13">
        <f>27415.48757</f>
        <v>27415.487570000001</v>
      </c>
      <c r="DD13">
        <f>29043.58508</f>
        <v>29043.585080000001</v>
      </c>
      <c r="DE13">
        <f>26917.4851</f>
        <v>26917.485100000002</v>
      </c>
      <c r="DF13">
        <f>25240.93283</f>
        <v>25240.932830000002</v>
      </c>
      <c r="DG13">
        <f>24266.91467</f>
        <v>24266.914669999998</v>
      </c>
      <c r="DH13">
        <f>25872.96355</f>
        <v>25872.96355</v>
      </c>
      <c r="DI13">
        <f>23510.71475</f>
        <v>23510.714749999999</v>
      </c>
      <c r="DJ13">
        <f>22628.39532</f>
        <v>22628.39532</v>
      </c>
      <c r="DK13">
        <f>22742.63193</f>
        <v>22742.63193</v>
      </c>
      <c r="DL13">
        <f>25425.9296</f>
        <v>25425.929599999999</v>
      </c>
      <c r="DM13">
        <f>21085.02462</f>
        <v>21085.02462</v>
      </c>
      <c r="DN13">
        <f>21018.83428</f>
        <v>21018.834279999999</v>
      </c>
      <c r="DO13">
        <f>21059.35555</f>
        <v>21059.35555</v>
      </c>
      <c r="DP13">
        <f>22481.10828</f>
        <v>22481.10828</v>
      </c>
      <c r="DQ13">
        <f>20199.26822</f>
        <v>20199.268220000002</v>
      </c>
      <c r="DR13">
        <f>19047.32859</f>
        <v>19047.328590000001</v>
      </c>
      <c r="DS13">
        <f>18907.84977</f>
        <v>18907.849770000001</v>
      </c>
    </row>
    <row r="14" spans="1:123" x14ac:dyDescent="0.25">
      <c r="A14" t="str">
        <f>"        North America"</f>
        <v xml:space="preserve">        North America</v>
      </c>
      <c r="B14" t="str">
        <f>"7267 JP Equity"</f>
        <v>7267 JP Equity</v>
      </c>
      <c r="C14" t="str">
        <f>"BI047"</f>
        <v>BI047</v>
      </c>
      <c r="D14" t="str">
        <f>"BICS_SEGMENT_DATA"</f>
        <v>BICS_SEGMENT_DATA</v>
      </c>
      <c r="E14" t="str">
        <f t="shared" si="0"/>
        <v>Dynamic</v>
      </c>
      <c r="F14">
        <f ca="1">IF(AND(ISNUMBER($F$66),$B$53=1),$F$66,HLOOKUP(INDIRECT(ADDRESS(2,COLUMN())),OFFSET($BM$2,0,0,ROW()-1,59),ROW()-1,FALSE))</f>
        <v>18850.285950000001</v>
      </c>
      <c r="G14" t="str">
        <f ca="1">IF(AND(ISNUMBER($G$66),$B$53=1),$G$66,HLOOKUP(INDIRECT(ADDRESS(2,COLUMN())),OFFSET($BM$2,0,0,ROW()-1,59),ROW()-1,FALSE))</f>
        <v/>
      </c>
      <c r="H14">
        <f ca="1">IF(AND(ISNUMBER($H$66),$B$53=1),$H$66,HLOOKUP(INDIRECT(ADDRESS(2,COLUMN())),OFFSET($BM$2,0,0,ROW()-1,59),ROW()-1,FALSE))</f>
        <v>19942.932410000001</v>
      </c>
      <c r="I14">
        <f ca="1">IF(AND(ISNUMBER($I$66),$B$53=1),$I$66,HLOOKUP(INDIRECT(ADDRESS(2,COLUMN())),OFFSET($BM$2,0,0,ROW()-1,59),ROW()-1,FALSE))</f>
        <v>18508.423599999998</v>
      </c>
      <c r="J14">
        <f ca="1">IF(AND(ISNUMBER($J$66),$B$53=1),$J$66,HLOOKUP(INDIRECT(ADDRESS(2,COLUMN())),OFFSET($BM$2,0,0,ROW()-1,59),ROW()-1,FALSE))</f>
        <v>18720.48603</v>
      </c>
      <c r="K14">
        <f ca="1">IF(AND(ISNUMBER($K$66),$B$53=1),$K$66,HLOOKUP(INDIRECT(ADDRESS(2,COLUMN())),OFFSET($BM$2,0,0,ROW()-1,59),ROW()-1,FALSE))</f>
        <v>17452.60902</v>
      </c>
      <c r="L14">
        <f ca="1">IF(AND(ISNUMBER($L$66),$B$53=1),$L$66,HLOOKUP(INDIRECT(ADDRESS(2,COLUMN())),OFFSET($BM$2,0,0,ROW()-1,59),ROW()-1,FALSE))</f>
        <v>18079.196080000002</v>
      </c>
      <c r="M14">
        <f ca="1">IF(AND(ISNUMBER($M$66),$B$53=1),$M$66,HLOOKUP(INDIRECT(ADDRESS(2,COLUMN())),OFFSET($BM$2,0,0,ROW()-1,59),ROW()-1,FALSE))</f>
        <v>17469.827089999999</v>
      </c>
      <c r="N14">
        <f ca="1">IF(AND(ISNUMBER($N$66),$B$53=1),$N$66,HLOOKUP(INDIRECT(ADDRESS(2,COLUMN())),OFFSET($BM$2,0,0,ROW()-1,59),ROW()-1,FALSE))</f>
        <v>17639.280060000001</v>
      </c>
      <c r="O14">
        <f ca="1">IF(AND(ISNUMBER($O$66),$B$53=1),$O$66,HLOOKUP(INDIRECT(ADDRESS(2,COLUMN())),OFFSET($BM$2,0,0,ROW()-1,59),ROW()-1,FALSE))</f>
        <v>16973.574530000002</v>
      </c>
      <c r="P14">
        <f ca="1">IF(AND(ISNUMBER($P$66),$B$53=1),$P$66,HLOOKUP(INDIRECT(ADDRESS(2,COLUMN())),OFFSET($BM$2,0,0,ROW()-1,59),ROW()-1,FALSE))</f>
        <v>18248.24424</v>
      </c>
      <c r="Q14">
        <f ca="1">IF(AND(ISNUMBER($Q$66),$B$53=1),$Q$66,HLOOKUP(INDIRECT(ADDRESS(2,COLUMN())),OFFSET($BM$2,0,0,ROW()-1,59),ROW()-1,FALSE))</f>
        <v>17268.329519999999</v>
      </c>
      <c r="R14">
        <f ca="1">IF(AND(ISNUMBER($R$66),$B$53=1),$R$66,HLOOKUP(INDIRECT(ADDRESS(2,COLUMN())),OFFSET($BM$2,0,0,ROW()-1,59),ROW()-1,FALSE))</f>
        <v>16682.530490000001</v>
      </c>
      <c r="S14">
        <f ca="1">IF(AND(ISNUMBER($S$66),$B$53=1),$S$66,HLOOKUP(INDIRECT(ADDRESS(2,COLUMN())),OFFSET($BM$2,0,0,ROW()-1,59),ROW()-1,FALSE))</f>
        <v>16406.045399999999</v>
      </c>
      <c r="T14">
        <f ca="1">IF(AND(ISNUMBER($T$66),$B$53=1),$T$66,HLOOKUP(INDIRECT(ADDRESS(2,COLUMN())),OFFSET($BM$2,0,0,ROW()-1,59),ROW()-1,FALSE))</f>
        <v>17278.86234</v>
      </c>
      <c r="U14" t="str">
        <f ca="1">IF(AND(ISNUMBER($U$66),$B$53=1),$U$66,HLOOKUP(INDIRECT(ADDRESS(2,COLUMN())),OFFSET($BM$2,0,0,ROW()-1,59),ROW()-1,FALSE))</f>
        <v/>
      </c>
      <c r="V14">
        <f ca="1">IF(AND(ISNUMBER($V$66),$B$53=1),$V$66,HLOOKUP(INDIRECT(ADDRESS(2,COLUMN())),OFFSET($BM$2,0,0,ROW()-1,59),ROW()-1,FALSE))</f>
        <v>15066.45383</v>
      </c>
      <c r="W14" t="str">
        <f ca="1">IF(AND(ISNUMBER($W$66),$B$53=1),$W$66,HLOOKUP(INDIRECT(ADDRESS(2,COLUMN())),OFFSET($BM$2,0,0,ROW()-1,59),ROW()-1,FALSE))</f>
        <v/>
      </c>
      <c r="X14">
        <f ca="1">IF(AND(ISNUMBER($X$66),$B$53=1),$X$66,HLOOKUP(INDIRECT(ADDRESS(2,COLUMN())),OFFSET($BM$2,0,0,ROW()-1,59),ROW()-1,FALSE))</f>
        <v>15896.375679999999</v>
      </c>
      <c r="Y14">
        <f ca="1">IF(AND(ISNUMBER($Y$66),$B$53=1),$Y$66,HLOOKUP(INDIRECT(ADDRESS(2,COLUMN())),OFFSET($BM$2,0,0,ROW()-1,59),ROW()-1,FALSE))</f>
        <v>12753.396280000001</v>
      </c>
      <c r="Z14">
        <f ca="1">IF(AND(ISNUMBER($Z$66),$B$53=1),$Z$66,HLOOKUP(INDIRECT(ADDRESS(2,COLUMN())),OFFSET($BM$2,0,0,ROW()-1,59),ROW()-1,FALSE))</f>
        <v>14751.012430000001</v>
      </c>
      <c r="AA14">
        <f ca="1">IF(AND(ISNUMBER($AA$66),$B$53=1),$AA$66,HLOOKUP(INDIRECT(ADDRESS(2,COLUMN())),OFFSET($BM$2,0,0,ROW()-1,59),ROW()-1,FALSE))</f>
        <v>13926.94757</v>
      </c>
      <c r="AB14">
        <f ca="1">IF(AND(ISNUMBER($AB$66),$B$53=1),$AB$66,HLOOKUP(INDIRECT(ADDRESS(2,COLUMN())),OFFSET($BM$2,0,0,ROW()-1,59),ROW()-1,FALSE))</f>
        <v>14173.11867</v>
      </c>
      <c r="AC14">
        <f ca="1">IF(AND(ISNUMBER($AC$66),$B$53=1),$AC$66,HLOOKUP(INDIRECT(ADDRESS(2,COLUMN())),OFFSET($BM$2,0,0,ROW()-1,59),ROW()-1,FALSE))</f>
        <v>13691.43612</v>
      </c>
      <c r="AD14">
        <f ca="1">IF(AND(ISNUMBER($AD$66),$B$53=1),$AD$66,HLOOKUP(INDIRECT(ADDRESS(2,COLUMN())),OFFSET($BM$2,0,0,ROW()-1,59),ROW()-1,FALSE))</f>
        <v>14663.891530000001</v>
      </c>
      <c r="AE14">
        <f ca="1">IF(AND(ISNUMBER($AE$66),$B$53=1),$AE$66,HLOOKUP(INDIRECT(ADDRESS(2,COLUMN())),OFFSET($BM$2,0,0,ROW()-1,59),ROW()-1,FALSE))</f>
        <v>12538.203810000001</v>
      </c>
      <c r="AF14">
        <f ca="1">IF(AND(ISNUMBER($AF$66),$B$53=1),$AF$66,HLOOKUP(INDIRECT(ADDRESS(2,COLUMN())),OFFSET($BM$2,0,0,ROW()-1,59),ROW()-1,FALSE))</f>
        <v>14355.76878</v>
      </c>
      <c r="AG14">
        <f ca="1">IF(AND(ISNUMBER($AG$66),$B$53=1),$AG$66,HLOOKUP(INDIRECT(ADDRESS(2,COLUMN())),OFFSET($BM$2,0,0,ROW()-1,59),ROW()-1,FALSE))</f>
        <v>14218.13228</v>
      </c>
      <c r="AH14">
        <f ca="1">IF(AND(ISNUMBER($AH$66),$B$53=1),$AH$66,HLOOKUP(INDIRECT(ADDRESS(2,COLUMN())),OFFSET($BM$2,0,0,ROW()-1,59),ROW()-1,FALSE))</f>
        <v>11932.07517</v>
      </c>
      <c r="AI14">
        <f ca="1">IF(AND(ISNUMBER($AI$66),$B$53=1),$AI$66,HLOOKUP(INDIRECT(ADDRESS(2,COLUMN())),OFFSET($BM$2,0,0,ROW()-1,59),ROW()-1,FALSE))</f>
        <v>9565.0533259999993</v>
      </c>
      <c r="AJ14">
        <f ca="1">IF(AND(ISNUMBER($AJ$66),$B$53=1),$AJ$66,HLOOKUP(INDIRECT(ADDRESS(2,COLUMN())),OFFSET($BM$2,0,0,ROW()-1,59),ROW()-1,FALSE))</f>
        <v>8443.4308349999992</v>
      </c>
      <c r="AK14">
        <f ca="1">IF(AND(ISNUMBER($AK$66),$B$53=1),$AK$66,HLOOKUP(INDIRECT(ADDRESS(2,COLUMN())),OFFSET($BM$2,0,0,ROW()-1,59),ROW()-1,FALSE))</f>
        <v>11191.003199999999</v>
      </c>
      <c r="AL14">
        <f ca="1">IF(AND(ISNUMBER($AL$66),$B$53=1),$AL$66,HLOOKUP(INDIRECT(ADDRESS(2,COLUMN())),OFFSET($BM$2,0,0,ROW()-1,59),ROW()-1,FALSE))</f>
        <v>11608.750620000001</v>
      </c>
      <c r="AM14">
        <f ca="1">IF(AND(ISNUMBER($AM$66),$B$53=1),$AM$66,HLOOKUP(INDIRECT(ADDRESS(2,COLUMN())),OFFSET($BM$2,0,0,ROW()-1,59),ROW()-1,FALSE))</f>
        <v>11224.10124</v>
      </c>
      <c r="AN14">
        <f ca="1">IF(AND(ISNUMBER($AN$66),$B$53=1),$AN$66,HLOOKUP(INDIRECT(ADDRESS(2,COLUMN())),OFFSET($BM$2,0,0,ROW()-1,59),ROW()-1,FALSE))</f>
        <v>11742.29271</v>
      </c>
      <c r="AO14">
        <f ca="1">IF(AND(ISNUMBER($AO$66),$B$53=1),$AO$66,HLOOKUP(INDIRECT(ADDRESS(2,COLUMN())),OFFSET($BM$2,0,0,ROW()-1,59),ROW()-1,FALSE))</f>
        <v>10540.185750000001</v>
      </c>
      <c r="AP14">
        <f ca="1">IF(AND(ISNUMBER($AP$66),$B$53=1),$AP$66,HLOOKUP(INDIRECT(ADDRESS(2,COLUMN())),OFFSET($BM$2,0,0,ROW()-1,59),ROW()-1,FALSE))</f>
        <v>10976.074780000001</v>
      </c>
      <c r="AQ14">
        <f ca="1">IF(AND(ISNUMBER($AQ$66),$B$53=1),$AQ$66,HLOOKUP(INDIRECT(ADDRESS(2,COLUMN())),OFFSET($BM$2,0,0,ROW()-1,59),ROW()-1,FALSE))</f>
        <v>9215.8650170000001</v>
      </c>
      <c r="AR14">
        <f ca="1">IF(AND(ISNUMBER($AR$66),$B$53=1),$AR$66,HLOOKUP(INDIRECT(ADDRESS(2,COLUMN())),OFFSET($BM$2,0,0,ROW()-1,59),ROW()-1,FALSE))</f>
        <v>9588.6644379999998</v>
      </c>
      <c r="AS14">
        <f ca="1">IF(AND(ISNUMBER($AS$66),$B$53=1),$AS$66,HLOOKUP(INDIRECT(ADDRESS(2,COLUMN())),OFFSET($BM$2,0,0,ROW()-1,59),ROW()-1,FALSE))</f>
        <v>6720.2097649999996</v>
      </c>
      <c r="AT14">
        <f ca="1">IF(AND(ISNUMBER($AT$66),$B$53=1),$AT$66,HLOOKUP(INDIRECT(ADDRESS(2,COLUMN())),OFFSET($BM$2,0,0,ROW()-1,59),ROW()-1,FALSE))</f>
        <v>12143.808370000001</v>
      </c>
      <c r="AU14">
        <f ca="1">IF(AND(ISNUMBER($AU$66),$B$53=1),$AU$66,HLOOKUP(INDIRECT(ADDRESS(2,COLUMN())),OFFSET($BM$2,0,0,ROW()-1,59),ROW()-1,FALSE))</f>
        <v>12025.455040000001</v>
      </c>
      <c r="AV14">
        <f ca="1">IF(AND(ISNUMBER($AV$66),$B$53=1),$AV$66,HLOOKUP(INDIRECT(ADDRESS(2,COLUMN())),OFFSET($BM$2,0,0,ROW()-1,59),ROW()-1,FALSE))</f>
        <v>13654.700290000001</v>
      </c>
      <c r="AW14">
        <f ca="1">IF(AND(ISNUMBER($AW$66),$B$53=1),$AW$66,HLOOKUP(INDIRECT(ADDRESS(2,COLUMN())),OFFSET($BM$2,0,0,ROW()-1,59),ROW()-1,FALSE))</f>
        <v>13603.67222</v>
      </c>
      <c r="AX14">
        <f ca="1">IF(AND(ISNUMBER($AX$66),$B$53=1),$AX$66,HLOOKUP(INDIRECT(ADDRESS(2,COLUMN())),OFFSET($BM$2,0,0,ROW()-1,59),ROW()-1,FALSE))</f>
        <v>14098.206690000001</v>
      </c>
      <c r="AY14">
        <f ca="1">IF(AND(ISNUMBER($AY$66),$B$53=1),$AY$66,HLOOKUP(INDIRECT(ADDRESS(2,COLUMN())),OFFSET($BM$2,0,0,ROW()-1,59),ROW()-1,FALSE))</f>
        <v>12817.239519999999</v>
      </c>
      <c r="AZ14">
        <f ca="1">IF(AND(ISNUMBER($AZ$66),$B$53=1),$AZ$66,HLOOKUP(INDIRECT(ADDRESS(2,COLUMN())),OFFSET($BM$2,0,0,ROW()-1,59),ROW()-1,FALSE))</f>
        <v>12697.273080000001</v>
      </c>
      <c r="BA14">
        <f ca="1">IF(AND(ISNUMBER($BA$66),$B$53=1),$BA$66,HLOOKUP(INDIRECT(ADDRESS(2,COLUMN())),OFFSET($BM$2,0,0,ROW()-1,59),ROW()-1,FALSE))</f>
        <v>13498.5182</v>
      </c>
      <c r="BB14">
        <f ca="1">IF(AND(ISNUMBER($BB$66),$B$53=1),$BB$66,HLOOKUP(INDIRECT(ADDRESS(2,COLUMN())),OFFSET($BM$2,0,0,ROW()-1,59),ROW()-1,FALSE))</f>
        <v>13281.028560000001</v>
      </c>
      <c r="BC14">
        <f ca="1">IF(AND(ISNUMBER($BC$66),$B$53=1),$BC$66,HLOOKUP(INDIRECT(ADDRESS(2,COLUMN())),OFFSET($BM$2,0,0,ROW()-1,59),ROW()-1,FALSE))</f>
        <v>11839.139649999999</v>
      </c>
      <c r="BD14">
        <f ca="1">IF(AND(ISNUMBER($BD$66),$B$53=1),$BD$66,HLOOKUP(INDIRECT(ADDRESS(2,COLUMN())),OFFSET($BM$2,0,0,ROW()-1,59),ROW()-1,FALSE))</f>
        <v>12504.46543</v>
      </c>
      <c r="BE14">
        <f ca="1">IF(AND(ISNUMBER($BE$66),$B$53=1),$BE$66,HLOOKUP(INDIRECT(ADDRESS(2,COLUMN())),OFFSET($BM$2,0,0,ROW()-1,59),ROW()-1,FALSE))</f>
        <v>13542.006009999999</v>
      </c>
      <c r="BF14">
        <f ca="1">IF(AND(ISNUMBER($BF$66),$B$53=1),$BF$66,HLOOKUP(INDIRECT(ADDRESS(2,COLUMN())),OFFSET($BM$2,0,0,ROW()-1,59),ROW()-1,FALSE))</f>
        <v>12262.83973</v>
      </c>
      <c r="BG14">
        <f ca="1">IF(AND(ISNUMBER($BG$66),$B$53=1),$BG$66,HLOOKUP(INDIRECT(ADDRESS(2,COLUMN())),OFFSET($BM$2,0,0,ROW()-1,59),ROW()-1,FALSE))</f>
        <v>11059.148939999999</v>
      </c>
      <c r="BH14">
        <f ca="1">IF(AND(ISNUMBER($BH$66),$B$53=1),$BH$66,HLOOKUP(INDIRECT(ADDRESS(2,COLUMN())),OFFSET($BM$2,0,0,ROW()-1,59),ROW()-1,FALSE))</f>
        <v>11279.441860000001</v>
      </c>
      <c r="BI14">
        <f ca="1">IF(AND(ISNUMBER($BI$66),$B$53=1),$BI$66,HLOOKUP(INDIRECT(ADDRESS(2,COLUMN())),OFFSET($BM$2,0,0,ROW()-1,59),ROW()-1,FALSE))</f>
        <v>11915.813889999999</v>
      </c>
      <c r="BJ14">
        <f ca="1">IF(AND(ISNUMBER($BJ$66),$B$53=1),$BJ$66,HLOOKUP(INDIRECT(ADDRESS(2,COLUMN())),OFFSET($BM$2,0,0,ROW()-1,59),ROW()-1,FALSE))</f>
        <v>10955.733130000001</v>
      </c>
      <c r="BK14">
        <f ca="1">IF(AND(ISNUMBER($BK$66),$B$53=1),$BK$66,HLOOKUP(INDIRECT(ADDRESS(2,COLUMN())),OFFSET($BM$2,0,0,ROW()-1,59),ROW()-1,FALSE))</f>
        <v>9710.8552110000001</v>
      </c>
      <c r="BL14">
        <f ca="1">IF(AND(ISNUMBER($BL$66),$B$53=1),$BL$66,HLOOKUP(INDIRECT(ADDRESS(2,COLUMN())),OFFSET($BM$2,0,0,ROW()-1,59),ROW()-1,FALSE))</f>
        <v>10078.10693</v>
      </c>
      <c r="BM14">
        <f>18850.28595</f>
        <v>18850.285950000001</v>
      </c>
      <c r="BN14" t="str">
        <f>""</f>
        <v/>
      </c>
      <c r="BO14">
        <f>19942.93241</f>
        <v>19942.932410000001</v>
      </c>
      <c r="BP14">
        <f>18508.4236</f>
        <v>18508.423599999998</v>
      </c>
      <c r="BQ14">
        <f>18720.48603</f>
        <v>18720.48603</v>
      </c>
      <c r="BR14">
        <f>17452.60902</f>
        <v>17452.60902</v>
      </c>
      <c r="BS14">
        <f>18079.19608</f>
        <v>18079.196080000002</v>
      </c>
      <c r="BT14">
        <f>17469.82709</f>
        <v>17469.827089999999</v>
      </c>
      <c r="BU14">
        <f>17639.28006</f>
        <v>17639.280060000001</v>
      </c>
      <c r="BV14">
        <f>16973.57453</f>
        <v>16973.574530000002</v>
      </c>
      <c r="BW14">
        <f>18248.24424</f>
        <v>18248.24424</v>
      </c>
      <c r="BX14">
        <f>17268.32952</f>
        <v>17268.329519999999</v>
      </c>
      <c r="BY14">
        <f>16682.53049</f>
        <v>16682.530490000001</v>
      </c>
      <c r="BZ14">
        <f>16406.0454</f>
        <v>16406.045399999999</v>
      </c>
      <c r="CA14">
        <f>17278.86234</f>
        <v>17278.86234</v>
      </c>
      <c r="CB14" t="str">
        <f>""</f>
        <v/>
      </c>
      <c r="CC14">
        <f>15066.45383</f>
        <v>15066.45383</v>
      </c>
      <c r="CD14" t="str">
        <f>""</f>
        <v/>
      </c>
      <c r="CE14">
        <f>15896.37568</f>
        <v>15896.375679999999</v>
      </c>
      <c r="CF14">
        <f>12753.39628</f>
        <v>12753.396280000001</v>
      </c>
      <c r="CG14">
        <f>14751.01243</f>
        <v>14751.012430000001</v>
      </c>
      <c r="CH14">
        <f>13926.94757</f>
        <v>13926.94757</v>
      </c>
      <c r="CI14">
        <f>14173.11867</f>
        <v>14173.11867</v>
      </c>
      <c r="CJ14">
        <f>13691.43612</f>
        <v>13691.43612</v>
      </c>
      <c r="CK14">
        <f>14663.89153</f>
        <v>14663.891530000001</v>
      </c>
      <c r="CL14">
        <f>12538.20381</f>
        <v>12538.203810000001</v>
      </c>
      <c r="CM14">
        <f>14355.76878</f>
        <v>14355.76878</v>
      </c>
      <c r="CN14">
        <f>14218.13228</f>
        <v>14218.13228</v>
      </c>
      <c r="CO14">
        <f>11932.07517</f>
        <v>11932.07517</v>
      </c>
      <c r="CP14">
        <f>9565.053326</f>
        <v>9565.0533259999993</v>
      </c>
      <c r="CQ14">
        <f>8443.430835</f>
        <v>8443.4308349999992</v>
      </c>
      <c r="CR14">
        <f>11191.0032</f>
        <v>11191.003199999999</v>
      </c>
      <c r="CS14">
        <f>11608.75062</f>
        <v>11608.750620000001</v>
      </c>
      <c r="CT14">
        <f>11224.10124</f>
        <v>11224.10124</v>
      </c>
      <c r="CU14">
        <f>11742.29271</f>
        <v>11742.29271</v>
      </c>
      <c r="CV14">
        <f>10540.18575</f>
        <v>10540.185750000001</v>
      </c>
      <c r="CW14">
        <f>10976.07478</f>
        <v>10976.074780000001</v>
      </c>
      <c r="CX14">
        <f>9215.865017</f>
        <v>9215.8650170000001</v>
      </c>
      <c r="CY14">
        <f>9588.664438</f>
        <v>9588.6644379999998</v>
      </c>
      <c r="CZ14">
        <f>6720.209765</f>
        <v>6720.2097649999996</v>
      </c>
      <c r="DA14">
        <f>12143.80837</f>
        <v>12143.808370000001</v>
      </c>
      <c r="DB14">
        <f>12025.45504</f>
        <v>12025.455040000001</v>
      </c>
      <c r="DC14">
        <f>13654.70029</f>
        <v>13654.700290000001</v>
      </c>
      <c r="DD14">
        <f>13603.67222</f>
        <v>13603.67222</v>
      </c>
      <c r="DE14">
        <f>14098.20669</f>
        <v>14098.206690000001</v>
      </c>
      <c r="DF14">
        <f>12817.23952</f>
        <v>12817.239519999999</v>
      </c>
      <c r="DG14">
        <f>12697.27308</f>
        <v>12697.273080000001</v>
      </c>
      <c r="DH14">
        <f>13498.5182</f>
        <v>13498.5182</v>
      </c>
      <c r="DI14">
        <f>13281.02856</f>
        <v>13281.028560000001</v>
      </c>
      <c r="DJ14">
        <f>11839.13965</f>
        <v>11839.139649999999</v>
      </c>
      <c r="DK14">
        <f>12504.46543</f>
        <v>12504.46543</v>
      </c>
      <c r="DL14">
        <f>13542.00601</f>
        <v>13542.006009999999</v>
      </c>
      <c r="DM14">
        <f>12262.83973</f>
        <v>12262.83973</v>
      </c>
      <c r="DN14">
        <f>11059.14894</f>
        <v>11059.148939999999</v>
      </c>
      <c r="DO14">
        <f>11279.44186</f>
        <v>11279.441860000001</v>
      </c>
      <c r="DP14">
        <f>11915.81389</f>
        <v>11915.813889999999</v>
      </c>
      <c r="DQ14">
        <f>10955.73313</f>
        <v>10955.733130000001</v>
      </c>
      <c r="DR14">
        <f>9710.855211</f>
        <v>9710.8552110000001</v>
      </c>
      <c r="DS14">
        <f>10078.10693</f>
        <v>10078.10693</v>
      </c>
    </row>
    <row r="15" spans="1:123" x14ac:dyDescent="0.25">
      <c r="A15" t="str">
        <f>"By Geography ($M) - Nissan"</f>
        <v>By Geography ($M) - Nissan</v>
      </c>
      <c r="B15" t="str">
        <f>"7201 JP Equity"</f>
        <v>7201 JP Equity</v>
      </c>
      <c r="C15" t="str">
        <f>"IS010"</f>
        <v>IS010</v>
      </c>
      <c r="D15" t="str">
        <f>"SALES_REV_TURN"</f>
        <v>SALES_REV_TURN</v>
      </c>
      <c r="E15" t="str">
        <f t="shared" si="0"/>
        <v>Dynamic</v>
      </c>
      <c r="F15">
        <f ca="1">IF(AND(ISNUMBER($F$67),$B$53=1),$F$67,HLOOKUP(INDIRECT(ADDRESS(2,COLUMN())),OFFSET($BM$2,0,0,ROW()-1,59),ROW()-1,FALSE))</f>
        <v>27017.875619999999</v>
      </c>
      <c r="G15">
        <f ca="1">IF(AND(ISNUMBER($G$67),$B$53=1),$G$67,HLOOKUP(INDIRECT(ADDRESS(2,COLUMN())),OFFSET($BM$2,0,0,ROW()-1,59),ROW()-1,FALSE))</f>
        <v>25259.116150000002</v>
      </c>
      <c r="H15">
        <f ca="1">IF(AND(ISNUMBER($H$67),$B$53=1),$H$67,HLOOKUP(INDIRECT(ADDRESS(2,COLUMN())),OFFSET($BM$2,0,0,ROW()-1,59),ROW()-1,FALSE))</f>
        <v>24899.59405</v>
      </c>
      <c r="I15">
        <f ca="1">IF(AND(ISNUMBER($I$67),$B$53=1),$I$67,HLOOKUP(INDIRECT(ADDRESS(2,COLUMN())),OFFSET($BM$2,0,0,ROW()-1,59),ROW()-1,FALSE))</f>
        <v>31602.910599999999</v>
      </c>
      <c r="J15">
        <f ca="1">IF(AND(ISNUMBER($J$67),$B$53=1),$J$67,HLOOKUP(INDIRECT(ADDRESS(2,COLUMN())),OFFSET($BM$2,0,0,ROW()-1,59),ROW()-1,FALSE))</f>
        <v>25473.93017</v>
      </c>
      <c r="K15">
        <f ca="1">IF(AND(ISNUMBER($K$67),$B$53=1),$K$67,HLOOKUP(INDIRECT(ADDRESS(2,COLUMN())),OFFSET($BM$2,0,0,ROW()-1,59),ROW()-1,FALSE))</f>
        <v>26065.16072</v>
      </c>
      <c r="L15">
        <f ca="1">IF(AND(ISNUMBER($L$67),$B$53=1),$L$67,HLOOKUP(INDIRECT(ADDRESS(2,COLUMN())),OFFSET($BM$2,0,0,ROW()-1,59),ROW()-1,FALSE))</f>
        <v>24842.966349999999</v>
      </c>
      <c r="M15">
        <f ca="1">IF(AND(ISNUMBER($M$67),$B$53=1),$M$67,HLOOKUP(INDIRECT(ADDRESS(2,COLUMN())),OFFSET($BM$2,0,0,ROW()-1,59),ROW()-1,FALSE))</f>
        <v>30422.726259999999</v>
      </c>
      <c r="N15">
        <f ca="1">IF(AND(ISNUMBER($N$67),$B$53=1),$N$67,HLOOKUP(INDIRECT(ADDRESS(2,COLUMN())),OFFSET($BM$2,0,0,ROW()-1,59),ROW()-1,FALSE))</f>
        <v>26931.527580000002</v>
      </c>
      <c r="O15">
        <f ca="1">IF(AND(ISNUMBER($O$67),$B$53=1),$O$67,HLOOKUP(INDIRECT(ADDRESS(2,COLUMN())),OFFSET($BM$2,0,0,ROW()-1,59),ROW()-1,FALSE))</f>
        <v>26056.526419999998</v>
      </c>
      <c r="P15">
        <f ca="1">IF(AND(ISNUMBER($P$67),$B$53=1),$P$67,HLOOKUP(INDIRECT(ADDRESS(2,COLUMN())),OFFSET($BM$2,0,0,ROW()-1,59),ROW()-1,FALSE))</f>
        <v>24603.604759999998</v>
      </c>
      <c r="Q15">
        <f ca="1">IF(AND(ISNUMBER($Q$67),$B$53=1),$Q$67,HLOOKUP(INDIRECT(ADDRESS(2,COLUMN())),OFFSET($BM$2,0,0,ROW()-1,59),ROW()-1,FALSE))</f>
        <v>28189.334559999999</v>
      </c>
      <c r="R15">
        <f ca="1">IF(AND(ISNUMBER($R$67),$B$53=1),$R$67,HLOOKUP(INDIRECT(ADDRESS(2,COLUMN())),OFFSET($BM$2,0,0,ROW()-1,59),ROW()-1,FALSE))</f>
        <v>24792.12859</v>
      </c>
      <c r="S15">
        <f ca="1">IF(AND(ISNUMBER($S$67),$B$53=1),$S$67,HLOOKUP(INDIRECT(ADDRESS(2,COLUMN())),OFFSET($BM$2,0,0,ROW()-1,59),ROW()-1,FALSE))</f>
        <v>24841.90526</v>
      </c>
      <c r="T15">
        <f ca="1">IF(AND(ISNUMBER($T$67),$B$53=1),$T$67,HLOOKUP(INDIRECT(ADDRESS(2,COLUMN())),OFFSET($BM$2,0,0,ROW()-1,59),ROW()-1,FALSE))</f>
        <v>23896.319500000001</v>
      </c>
      <c r="U15">
        <f ca="1">IF(AND(ISNUMBER($U$67),$B$53=1),$U$67,HLOOKUP(INDIRECT(ADDRESS(2,COLUMN())),OFFSET($BM$2,0,0,ROW()-1,59),ROW()-1,FALSE))</f>
        <v>27581.647929999999</v>
      </c>
      <c r="V15">
        <f ca="1">IF(AND(ISNUMBER($V$67),$B$53=1),$V$67,HLOOKUP(INDIRECT(ADDRESS(2,COLUMN())),OFFSET($BM$2,0,0,ROW()-1,59),ROW()-1,FALSE))</f>
        <v>25755.265670000001</v>
      </c>
      <c r="W15">
        <f ca="1">IF(AND(ISNUMBER($W$67),$B$53=1),$W$67,HLOOKUP(INDIRECT(ADDRESS(2,COLUMN())),OFFSET($BM$2,0,0,ROW()-1,59),ROW()-1,FALSE))</f>
        <v>25777.083790000001</v>
      </c>
      <c r="X15">
        <f ca="1">IF(AND(ISNUMBER($X$67),$B$53=1),$X$67,HLOOKUP(INDIRECT(ADDRESS(2,COLUMN())),OFFSET($BM$2,0,0,ROW()-1,59),ROW()-1,FALSE))</f>
        <v>24146.93951</v>
      </c>
      <c r="Y15">
        <f ca="1">IF(AND(ISNUMBER($Y$67),$B$53=1),$Y$67,HLOOKUP(INDIRECT(ADDRESS(2,COLUMN())),OFFSET($BM$2,0,0,ROW()-1,59),ROW()-1,FALSE))</f>
        <v>31168.643100000001</v>
      </c>
      <c r="Z15">
        <f ca="1">IF(AND(ISNUMBER($Z$67),$B$53=1),$Z$67,HLOOKUP(INDIRECT(ADDRESS(2,COLUMN())),OFFSET($BM$2,0,0,ROW()-1,59),ROW()-1,FALSE))</f>
        <v>25127.8413</v>
      </c>
      <c r="AA15">
        <f ca="1">IF(AND(ISNUMBER($AA$67),$B$53=1),$AA$67,HLOOKUP(INDIRECT(ADDRESS(2,COLUMN())),OFFSET($BM$2,0,0,ROW()-1,59),ROW()-1,FALSE))</f>
        <v>25507.995159999999</v>
      </c>
      <c r="AB15">
        <f ca="1">IF(AND(ISNUMBER($AB$67),$B$53=1),$AB$67,HLOOKUP(INDIRECT(ADDRESS(2,COLUMN())),OFFSET($BM$2,0,0,ROW()-1,59),ROW()-1,FALSE))</f>
        <v>22634.19354</v>
      </c>
      <c r="AC15">
        <f ca="1">IF(AND(ISNUMBER($AC$67),$B$53=1),$AC$67,HLOOKUP(INDIRECT(ADDRESS(2,COLUMN())),OFFSET($BM$2,0,0,ROW()-1,59),ROW()-1,FALSE))</f>
        <v>28847.288120000001</v>
      </c>
      <c r="AD15">
        <f ca="1">IF(AND(ISNUMBER($AD$67),$B$53=1),$AD$67,HLOOKUP(INDIRECT(ADDRESS(2,COLUMN())),OFFSET($BM$2,0,0,ROW()-1,59),ROW()-1,FALSE))</f>
        <v>24848.326349999999</v>
      </c>
      <c r="AE15">
        <f ca="1">IF(AND(ISNUMBER($AE$67),$B$53=1),$AE$67,HLOOKUP(INDIRECT(ADDRESS(2,COLUMN())),OFFSET($BM$2,0,0,ROW()-1,59),ROW()-1,FALSE))</f>
        <v>27576.415229999999</v>
      </c>
      <c r="AF15">
        <f ca="1">IF(AND(ISNUMBER($AF$67),$B$53=1),$AF$67,HLOOKUP(INDIRECT(ADDRESS(2,COLUMN())),OFFSET($BM$2,0,0,ROW()-1,59),ROW()-1,FALSE))</f>
        <v>23672.389620000002</v>
      </c>
      <c r="AG15">
        <f ca="1">IF(AND(ISNUMBER($AG$67),$B$53=1),$AG$67,HLOOKUP(INDIRECT(ADDRESS(2,COLUMN())),OFFSET($BM$2,0,0,ROW()-1,59),ROW()-1,FALSE))</f>
        <v>34203.085489999998</v>
      </c>
      <c r="AH15">
        <f ca="1">IF(AND(ISNUMBER($AH$67),$B$53=1),$AH$67,HLOOKUP(INDIRECT(ADDRESS(2,COLUMN())),OFFSET($BM$2,0,0,ROW()-1,59),ROW()-1,FALSE))</f>
        <v>30138.57231</v>
      </c>
      <c r="AI15">
        <f ca="1">IF(AND(ISNUMBER($AI$67),$B$53=1),$AI$67,HLOOKUP(INDIRECT(ADDRESS(2,COLUMN())),OFFSET($BM$2,0,0,ROW()-1,59),ROW()-1,FALSE))</f>
        <v>29432.39545</v>
      </c>
      <c r="AJ15">
        <f ca="1">IF(AND(ISNUMBER($AJ$67),$B$53=1),$AJ$67,HLOOKUP(INDIRECT(ADDRESS(2,COLUMN())),OFFSET($BM$2,0,0,ROW()-1,59),ROW()-1,FALSE))</f>
        <v>25537.899860000001</v>
      </c>
      <c r="AK15">
        <f ca="1">IF(AND(ISNUMBER($AK$67),$B$53=1),$AK$67,HLOOKUP(INDIRECT(ADDRESS(2,COLUMN())),OFFSET($BM$2,0,0,ROW()-1,59),ROW()-1,FALSE))</f>
        <v>28594.538830000001</v>
      </c>
      <c r="AL15">
        <f ca="1">IF(AND(ISNUMBER($AL$67),$B$53=1),$AL$67,HLOOKUP(INDIRECT(ADDRESS(2,COLUMN())),OFFSET($BM$2,0,0,ROW()-1,59),ROW()-1,FALSE))</f>
        <v>25477.577020000001</v>
      </c>
      <c r="AM15">
        <f ca="1">IF(AND(ISNUMBER($AM$67),$B$53=1),$AM$67,HLOOKUP(INDIRECT(ADDRESS(2,COLUMN())),OFFSET($BM$2,0,0,ROW()-1,59),ROW()-1,FALSE))</f>
        <v>26465.652460000001</v>
      </c>
      <c r="AN15">
        <f ca="1">IF(AND(ISNUMBER($AN$67),$B$53=1),$AN$67,HLOOKUP(INDIRECT(ADDRESS(2,COLUMN())),OFFSET($BM$2,0,0,ROW()-1,59),ROW()-1,FALSE))</f>
        <v>22273.322950000002</v>
      </c>
      <c r="AO15">
        <f ca="1">IF(AND(ISNUMBER($AO$67),$B$53=1),$AO$67,HLOOKUP(INDIRECT(ADDRESS(2,COLUMN())),OFFSET($BM$2,0,0,ROW()-1,59),ROW()-1,FALSE))</f>
        <v>23577.287390000001</v>
      </c>
      <c r="AP15">
        <f ca="1">IF(AND(ISNUMBER($AP$67),$B$53=1),$AP$67,HLOOKUP(INDIRECT(ADDRESS(2,COLUMN())),OFFSET($BM$2,0,0,ROW()-1,59),ROW()-1,FALSE))</f>
        <v>22223.705549999999</v>
      </c>
      <c r="AQ15">
        <f ca="1">IF(AND(ISNUMBER($AQ$67),$B$53=1),$AQ$67,HLOOKUP(INDIRECT(ADDRESS(2,COLUMN())),OFFSET($BM$2,0,0,ROW()-1,59),ROW()-1,FALSE))</f>
        <v>19982.251459999999</v>
      </c>
      <c r="AR15">
        <f ca="1">IF(AND(ISNUMBER($AR$67),$B$53=1),$AR$67,HLOOKUP(INDIRECT(ADDRESS(2,COLUMN())),OFFSET($BM$2,0,0,ROW()-1,59),ROW()-1,FALSE))</f>
        <v>15566.45343</v>
      </c>
      <c r="AS15">
        <f ca="1">IF(AND(ISNUMBER($AS$67),$B$53=1),$AS$67,HLOOKUP(INDIRECT(ADDRESS(2,COLUMN())),OFFSET($BM$2,0,0,ROW()-1,59),ROW()-1,FALSE))</f>
        <v>18720.62329</v>
      </c>
      <c r="AT15">
        <f ca="1">IF(AND(ISNUMBER($AT$67),$B$53=1),$AT$67,HLOOKUP(INDIRECT(ADDRESS(2,COLUMN())),OFFSET($BM$2,0,0,ROW()-1,59),ROW()-1,FALSE))</f>
        <v>18952.384020000001</v>
      </c>
      <c r="AU15">
        <f ca="1">IF(AND(ISNUMBER($AU$67),$B$53=1),$AU$67,HLOOKUP(INDIRECT(ADDRESS(2,COLUMN())),OFFSET($BM$2,0,0,ROW()-1,59),ROW()-1,FALSE))</f>
        <v>23445.799370000001</v>
      </c>
      <c r="AV15">
        <f ca="1">IF(AND(ISNUMBER($AV$67),$B$53=1),$AV$67,HLOOKUP(INDIRECT(ADDRESS(2,COLUMN())),OFFSET($BM$2,0,0,ROW()-1,59),ROW()-1,FALSE))</f>
        <v>22443.693950000001</v>
      </c>
      <c r="AW15">
        <f ca="1">IF(AND(ISNUMBER($AW$67),$B$53=1),$AW$67,HLOOKUP(INDIRECT(ADDRESS(2,COLUMN())),OFFSET($BM$2,0,0,ROW()-1,59),ROW()-1,FALSE))</f>
        <v>28417.041140000001</v>
      </c>
      <c r="AX15">
        <f ca="1">IF(AND(ISNUMBER($AX$67),$B$53=1),$AX$67,HLOOKUP(INDIRECT(ADDRESS(2,COLUMN())),OFFSET($BM$2,0,0,ROW()-1,59),ROW()-1,FALSE))</f>
        <v>24488.964120000001</v>
      </c>
      <c r="AY15">
        <f ca="1">IF(AND(ISNUMBER($AY$67),$B$53=1),$AY$67,HLOOKUP(INDIRECT(ADDRESS(2,COLUMN())),OFFSET($BM$2,0,0,ROW()-1,59),ROW()-1,FALSE))</f>
        <v>22239.412479999999</v>
      </c>
      <c r="AZ15">
        <f ca="1">IF(AND(ISNUMBER($AZ$67),$B$53=1),$AZ$67,HLOOKUP(INDIRECT(ADDRESS(2,COLUMN())),OFFSET($BM$2,0,0,ROW()-1,59),ROW()-1,FALSE))</f>
        <v>20254.580580000002</v>
      </c>
      <c r="BA15">
        <f ca="1">IF(AND(ISNUMBER($BA$67),$B$53=1),$BA$67,HLOOKUP(INDIRECT(ADDRESS(2,COLUMN())),OFFSET($BM$2,0,0,ROW()-1,59),ROW()-1,FALSE))</f>
        <v>30091.973689999999</v>
      </c>
      <c r="BB15">
        <f ca="1">IF(AND(ISNUMBER($BB$67),$B$53=1),$BB$67,HLOOKUP(INDIRECT(ADDRESS(2,COLUMN())),OFFSET($BM$2,0,0,ROW()-1,59),ROW()-1,FALSE))</f>
        <v>19894.161169999999</v>
      </c>
      <c r="BC15">
        <f ca="1">IF(AND(ISNUMBER($BC$67),$B$53=1),$BC$67,HLOOKUP(INDIRECT(ADDRESS(2,COLUMN())),OFFSET($BM$2,0,0,ROW()-1,59),ROW()-1,FALSE))</f>
        <v>19989.054929999998</v>
      </c>
      <c r="BD15">
        <f ca="1">IF(AND(ISNUMBER($BD$67),$B$53=1),$BD$67,HLOOKUP(INDIRECT(ADDRESS(2,COLUMN())),OFFSET($BM$2,0,0,ROW()-1,59),ROW()-1,FALSE))</f>
        <v>19336.674950000001</v>
      </c>
      <c r="BE15">
        <f ca="1">IF(AND(ISNUMBER($BE$67),$B$53=1),$BE$67,HLOOKUP(INDIRECT(ADDRESS(2,COLUMN())),OFFSET($BM$2,0,0,ROW()-1,59),ROW()-1,FALSE))</f>
        <v>22553.52288</v>
      </c>
      <c r="BF15">
        <f ca="1">IF(AND(ISNUMBER($BF$67),$B$53=1),$BF$67,HLOOKUP(INDIRECT(ADDRESS(2,COLUMN())),OFFSET($BM$2,0,0,ROW()-1,59),ROW()-1,FALSE))</f>
        <v>19628.84791</v>
      </c>
      <c r="BG15">
        <f ca="1">IF(AND(ISNUMBER($BG$67),$B$53=1),$BG$67,HLOOKUP(INDIRECT(ADDRESS(2,COLUMN())),OFFSET($BM$2,0,0,ROW()-1,59),ROW()-1,FALSE))</f>
        <v>21094.766319999999</v>
      </c>
      <c r="BH15">
        <f ca="1">IF(AND(ISNUMBER($BH$67),$B$53=1),$BH$67,HLOOKUP(INDIRECT(ADDRESS(2,COLUMN())),OFFSET($BM$2,0,0,ROW()-1,59),ROW()-1,FALSE))</f>
        <v>19946.03383</v>
      </c>
      <c r="BI15">
        <f ca="1">IF(AND(ISNUMBER($BI$67),$B$53=1),$BI$67,HLOOKUP(INDIRECT(ADDRESS(2,COLUMN())),OFFSET($BM$2,0,0,ROW()-1,59),ROW()-1,FALSE))</f>
        <v>23694.68707</v>
      </c>
      <c r="BJ15">
        <f ca="1">IF(AND(ISNUMBER($BJ$67),$B$53=1),$BJ$67,HLOOKUP(INDIRECT(ADDRESS(2,COLUMN())),OFFSET($BM$2,0,0,ROW()-1,59),ROW()-1,FALSE))</f>
        <v>19802.888040000002</v>
      </c>
      <c r="BK15">
        <f ca="1">IF(AND(ISNUMBER($BK$67),$B$53=1),$BK$67,HLOOKUP(INDIRECT(ADDRESS(2,COLUMN())),OFFSET($BM$2,0,0,ROW()-1,59),ROW()-1,FALSE))</f>
        <v>19135.533490000002</v>
      </c>
      <c r="BL15">
        <f ca="1">IF(AND(ISNUMBER($BL$67),$B$53=1),$BL$67,HLOOKUP(INDIRECT(ADDRESS(2,COLUMN())),OFFSET($BM$2,0,0,ROW()-1,59),ROW()-1,FALSE))</f>
        <v>17371.219249999998</v>
      </c>
      <c r="BM15">
        <f>27017.87562</f>
        <v>27017.875619999999</v>
      </c>
      <c r="BN15">
        <f>25259.11615</f>
        <v>25259.116150000002</v>
      </c>
      <c r="BO15">
        <f>24899.59405</f>
        <v>24899.59405</v>
      </c>
      <c r="BP15">
        <f>31602.9106</f>
        <v>31602.910599999999</v>
      </c>
      <c r="BQ15">
        <f>25473.93017</f>
        <v>25473.93017</v>
      </c>
      <c r="BR15">
        <f>26065.16072</f>
        <v>26065.16072</v>
      </c>
      <c r="BS15">
        <f>24842.96635</f>
        <v>24842.966349999999</v>
      </c>
      <c r="BT15">
        <f>30422.72626</f>
        <v>30422.726259999999</v>
      </c>
      <c r="BU15">
        <f>26931.52758</f>
        <v>26931.527580000002</v>
      </c>
      <c r="BV15">
        <f>26056.52642</f>
        <v>26056.526419999998</v>
      </c>
      <c r="BW15">
        <f>24603.60476</f>
        <v>24603.604759999998</v>
      </c>
      <c r="BX15">
        <f>28189.33456</f>
        <v>28189.334559999999</v>
      </c>
      <c r="BY15">
        <f>24792.12859</f>
        <v>24792.12859</v>
      </c>
      <c r="BZ15">
        <f>24841.90526</f>
        <v>24841.90526</v>
      </c>
      <c r="CA15">
        <f>23896.3195</f>
        <v>23896.319500000001</v>
      </c>
      <c r="CB15">
        <f>27581.64793</f>
        <v>27581.647929999999</v>
      </c>
      <c r="CC15">
        <f>25755.26567</f>
        <v>25755.265670000001</v>
      </c>
      <c r="CD15">
        <f>25777.08379</f>
        <v>25777.083790000001</v>
      </c>
      <c r="CE15">
        <f>24146.93951</f>
        <v>24146.93951</v>
      </c>
      <c r="CF15">
        <f>31168.6431</f>
        <v>31168.643100000001</v>
      </c>
      <c r="CG15">
        <f>25127.8413</f>
        <v>25127.8413</v>
      </c>
      <c r="CH15">
        <f>25507.99516</f>
        <v>25507.995159999999</v>
      </c>
      <c r="CI15">
        <f>22634.19354</f>
        <v>22634.19354</v>
      </c>
      <c r="CJ15">
        <f>28847.28812</f>
        <v>28847.288120000001</v>
      </c>
      <c r="CK15">
        <f>24848.32635</f>
        <v>24848.326349999999</v>
      </c>
      <c r="CL15">
        <f>27576.41523</f>
        <v>27576.415229999999</v>
      </c>
      <c r="CM15">
        <f>23672.38962</f>
        <v>23672.389620000002</v>
      </c>
      <c r="CN15">
        <f>34203.08549</f>
        <v>34203.085489999998</v>
      </c>
      <c r="CO15">
        <f>30138.57231</f>
        <v>30138.57231</v>
      </c>
      <c r="CP15">
        <f>29432.39545</f>
        <v>29432.39545</v>
      </c>
      <c r="CQ15">
        <f>25537.89986</f>
        <v>25537.899860000001</v>
      </c>
      <c r="CR15">
        <f>28594.53883</f>
        <v>28594.538830000001</v>
      </c>
      <c r="CS15">
        <f>25477.57702</f>
        <v>25477.577020000001</v>
      </c>
      <c r="CT15">
        <f>26465.65246</f>
        <v>26465.652460000001</v>
      </c>
      <c r="CU15">
        <f>22273.32295</f>
        <v>22273.322950000002</v>
      </c>
      <c r="CV15">
        <f>23577.28739</f>
        <v>23577.287390000001</v>
      </c>
      <c r="CW15">
        <f>22223.70555</f>
        <v>22223.705549999999</v>
      </c>
      <c r="CX15">
        <f>19982.25146</f>
        <v>19982.251459999999</v>
      </c>
      <c r="CY15">
        <f>15566.45343</f>
        <v>15566.45343</v>
      </c>
      <c r="CZ15">
        <f>18720.62329</f>
        <v>18720.62329</v>
      </c>
      <c r="DA15">
        <f>18952.38402</f>
        <v>18952.384020000001</v>
      </c>
      <c r="DB15">
        <f>23445.79937</f>
        <v>23445.799370000001</v>
      </c>
      <c r="DC15">
        <f>22443.69395</f>
        <v>22443.693950000001</v>
      </c>
      <c r="DD15">
        <f>28417.04114</f>
        <v>28417.041140000001</v>
      </c>
      <c r="DE15">
        <f>24488.96412</f>
        <v>24488.964120000001</v>
      </c>
      <c r="DF15">
        <f>22239.41248</f>
        <v>22239.412479999999</v>
      </c>
      <c r="DG15">
        <f>20254.58058</f>
        <v>20254.580580000002</v>
      </c>
      <c r="DH15">
        <f>30091.97369</f>
        <v>30091.973689999999</v>
      </c>
      <c r="DI15">
        <f>19894.16117</f>
        <v>19894.161169999999</v>
      </c>
      <c r="DJ15">
        <f>19989.05493</f>
        <v>19989.054929999998</v>
      </c>
      <c r="DK15">
        <f>19336.67495</f>
        <v>19336.674950000001</v>
      </c>
      <c r="DL15">
        <f>22553.52288</f>
        <v>22553.52288</v>
      </c>
      <c r="DM15">
        <f>19628.84791</f>
        <v>19628.84791</v>
      </c>
      <c r="DN15">
        <f>21094.76632</f>
        <v>21094.766319999999</v>
      </c>
      <c r="DO15">
        <f>19946.03383</f>
        <v>19946.03383</v>
      </c>
      <c r="DP15">
        <f>23694.68707</f>
        <v>23694.68707</v>
      </c>
      <c r="DQ15">
        <f>19802.88804</f>
        <v>19802.888040000002</v>
      </c>
      <c r="DR15">
        <f>19135.53349</f>
        <v>19135.533490000002</v>
      </c>
      <c r="DS15">
        <f>17371.21925</f>
        <v>17371.219249999998</v>
      </c>
    </row>
    <row r="16" spans="1:123" x14ac:dyDescent="0.25">
      <c r="A16" t="str">
        <f>"        North America"</f>
        <v xml:space="preserve">        North America</v>
      </c>
      <c r="B16" t="str">
        <f>"7201 JP Equity"</f>
        <v>7201 JP Equity</v>
      </c>
      <c r="C16" t="str">
        <f>"BI047"</f>
        <v>BI047</v>
      </c>
      <c r="D16" t="str">
        <f>"BICS_SEGMENT_DATA"</f>
        <v>BICS_SEGMENT_DATA</v>
      </c>
      <c r="E16" t="str">
        <f t="shared" si="0"/>
        <v>Dynamic</v>
      </c>
      <c r="F16">
        <f ca="1">IF(AND(ISNUMBER($F$68),$B$53=1),$F$68,HLOOKUP(INDIRECT(ADDRESS(2,COLUMN())),OFFSET($BM$2,0,0,ROW()-1,59),ROW()-1,FALSE))</f>
        <v>13591.968639999999</v>
      </c>
      <c r="G16">
        <f ca="1">IF(AND(ISNUMBER($G$68),$B$53=1),$G$68,HLOOKUP(INDIRECT(ADDRESS(2,COLUMN())),OFFSET($BM$2,0,0,ROW()-1,59),ROW()-1,FALSE))</f>
        <v>11640.52456</v>
      </c>
      <c r="H16">
        <f ca="1">IF(AND(ISNUMBER($H$68),$B$53=1),$H$68,HLOOKUP(INDIRECT(ADDRESS(2,COLUMN())),OFFSET($BM$2,0,0,ROW()-1,59),ROW()-1,FALSE))</f>
        <v>11709.287189999999</v>
      </c>
      <c r="I16">
        <f ca="1">IF(AND(ISNUMBER($I$68),$B$53=1),$I$68,HLOOKUP(INDIRECT(ADDRESS(2,COLUMN())),OFFSET($BM$2,0,0,ROW()-1,59),ROW()-1,FALSE))</f>
        <v>14667.266750000001</v>
      </c>
      <c r="J16">
        <f ca="1">IF(AND(ISNUMBER($J$68),$B$53=1),$J$68,HLOOKUP(INDIRECT(ADDRESS(2,COLUMN())),OFFSET($BM$2,0,0,ROW()-1,59),ROW()-1,FALSE))</f>
        <v>12610.89696</v>
      </c>
      <c r="K16">
        <f ca="1">IF(AND(ISNUMBER($K$68),$B$53=1),$K$68,HLOOKUP(INDIRECT(ADDRESS(2,COLUMN())),OFFSET($BM$2,0,0,ROW()-1,59),ROW()-1,FALSE))</f>
        <v>12836.803680000001</v>
      </c>
      <c r="L16">
        <f ca="1">IF(AND(ISNUMBER($L$68),$B$53=1),$L$68,HLOOKUP(INDIRECT(ADDRESS(2,COLUMN())),OFFSET($BM$2,0,0,ROW()-1,59),ROW()-1,FALSE))</f>
        <v>13194.18439</v>
      </c>
      <c r="M16">
        <f ca="1">IF(AND(ISNUMBER($M$68),$B$53=1),$M$68,HLOOKUP(INDIRECT(ADDRESS(2,COLUMN())),OFFSET($BM$2,0,0,ROW()-1,59),ROW()-1,FALSE))</f>
        <v>14569.234769999999</v>
      </c>
      <c r="N16">
        <f ca="1">IF(AND(ISNUMBER($N$68),$B$53=1),$N$68,HLOOKUP(INDIRECT(ADDRESS(2,COLUMN())),OFFSET($BM$2,0,0,ROW()-1,59),ROW()-1,FALSE))</f>
        <v>13506.484990000001</v>
      </c>
      <c r="O16">
        <f ca="1">IF(AND(ISNUMBER($O$68),$B$53=1),$O$68,HLOOKUP(INDIRECT(ADDRESS(2,COLUMN())),OFFSET($BM$2,0,0,ROW()-1,59),ROW()-1,FALSE))</f>
        <v>12982.678379999999</v>
      </c>
      <c r="P16">
        <f ca="1">IF(AND(ISNUMBER($P$68),$B$53=1),$P$68,HLOOKUP(INDIRECT(ADDRESS(2,COLUMN())),OFFSET($BM$2,0,0,ROW()-1,59),ROW()-1,FALSE))</f>
        <v>12494.08502</v>
      </c>
      <c r="Q16">
        <f ca="1">IF(AND(ISNUMBER($Q$68),$B$53=1),$Q$68,HLOOKUP(INDIRECT(ADDRESS(2,COLUMN())),OFFSET($BM$2,0,0,ROW()-1,59),ROW()-1,FALSE))</f>
        <v>13170.156709999999</v>
      </c>
      <c r="R16">
        <f ca="1">IF(AND(ISNUMBER($R$68),$B$53=1),$R$68,HLOOKUP(INDIRECT(ADDRESS(2,COLUMN())),OFFSET($BM$2,0,0,ROW()-1,59),ROW()-1,FALSE))</f>
        <v>12024.33591</v>
      </c>
      <c r="S16">
        <f ca="1">IF(AND(ISNUMBER($S$68),$B$53=1),$S$68,HLOOKUP(INDIRECT(ADDRESS(2,COLUMN())),OFFSET($BM$2,0,0,ROW()-1,59),ROW()-1,FALSE))</f>
        <v>11939.782310000001</v>
      </c>
      <c r="T16">
        <f ca="1">IF(AND(ISNUMBER($T$68),$B$53=1),$T$68,HLOOKUP(INDIRECT(ADDRESS(2,COLUMN())),OFFSET($BM$2,0,0,ROW()-1,59),ROW()-1,FALSE))</f>
        <v>11761.384700000001</v>
      </c>
      <c r="U16">
        <f ca="1">IF(AND(ISNUMBER($U$68),$B$53=1),$U$68,HLOOKUP(INDIRECT(ADDRESS(2,COLUMN())),OFFSET($BM$2,0,0,ROW()-1,59),ROW()-1,FALSE))</f>
        <v>12546.4277</v>
      </c>
      <c r="V16">
        <f ca="1">IF(AND(ISNUMBER($V$68),$B$53=1),$V$68,HLOOKUP(INDIRECT(ADDRESS(2,COLUMN())),OFFSET($BM$2,0,0,ROW()-1,59),ROW()-1,FALSE))</f>
        <v>11571.386490000001</v>
      </c>
      <c r="W16">
        <f ca="1">IF(AND(ISNUMBER($W$68),$B$53=1),$W$68,HLOOKUP(INDIRECT(ADDRESS(2,COLUMN())),OFFSET($BM$2,0,0,ROW()-1,59),ROW()-1,FALSE))</f>
        <v>11150.081050000001</v>
      </c>
      <c r="X16">
        <f ca="1">IF(AND(ISNUMBER($X$68),$B$53=1),$X$68,HLOOKUP(INDIRECT(ADDRESS(2,COLUMN())),OFFSET($BM$2,0,0,ROW()-1,59),ROW()-1,FALSE))</f>
        <v>10643.27651</v>
      </c>
      <c r="Y16">
        <f ca="1">IF(AND(ISNUMBER($Y$68),$B$53=1),$Y$68,HLOOKUP(INDIRECT(ADDRESS(2,COLUMN())),OFFSET($BM$2,0,0,ROW()-1,59),ROW()-1,FALSE))</f>
        <v>13567.2783</v>
      </c>
      <c r="Z16">
        <f ca="1">IF(AND(ISNUMBER($Z$68),$B$53=1),$Z$68,HLOOKUP(INDIRECT(ADDRESS(2,COLUMN())),OFFSET($BM$2,0,0,ROW()-1,59),ROW()-1,FALSE))</f>
        <v>10137.505660000001</v>
      </c>
      <c r="AA16">
        <f ca="1">IF(AND(ISNUMBER($AA$68),$B$53=1),$AA$68,HLOOKUP(INDIRECT(ADDRESS(2,COLUMN())),OFFSET($BM$2,0,0,ROW()-1,59),ROW()-1,FALSE))</f>
        <v>11049.844160000001</v>
      </c>
      <c r="AB16">
        <f ca="1">IF(AND(ISNUMBER($AB$68),$B$53=1),$AB$68,HLOOKUP(INDIRECT(ADDRESS(2,COLUMN())),OFFSET($BM$2,0,0,ROW()-1,59),ROW()-1,FALSE))</f>
        <v>9964.2784339999998</v>
      </c>
      <c r="AC16">
        <f ca="1">IF(AND(ISNUMBER($AC$68),$B$53=1),$AC$68,HLOOKUP(INDIRECT(ADDRESS(2,COLUMN())),OFFSET($BM$2,0,0,ROW()-1,59),ROW()-1,FALSE))</f>
        <v>12814.588760000001</v>
      </c>
      <c r="AD16">
        <f ca="1">IF(AND(ISNUMBER($AD$68),$B$53=1),$AD$68,HLOOKUP(INDIRECT(ADDRESS(2,COLUMN())),OFFSET($BM$2,0,0,ROW()-1,59),ROW()-1,FALSE))</f>
        <v>9415.1214130000008</v>
      </c>
      <c r="AE16">
        <f ca="1">IF(AND(ISNUMBER($AE$68),$B$53=1),$AE$68,HLOOKUP(INDIRECT(ADDRESS(2,COLUMN())),OFFSET($BM$2,0,0,ROW()-1,59),ROW()-1,FALSE))</f>
        <v>10581.013150000001</v>
      </c>
      <c r="AF16">
        <f ca="1">IF(AND(ISNUMBER($AF$68),$B$53=1),$AF$68,HLOOKUP(INDIRECT(ADDRESS(2,COLUMN())),OFFSET($BM$2,0,0,ROW()-1,59),ROW()-1,FALSE))</f>
        <v>8441.0249270000004</v>
      </c>
      <c r="AG16">
        <f ca="1">IF(AND(ISNUMBER($AG$68),$B$53=1),$AG$68,HLOOKUP(INDIRECT(ADDRESS(2,COLUMN())),OFFSET($BM$2,0,0,ROW()-1,59),ROW()-1,FALSE))</f>
        <v>10551.70391</v>
      </c>
      <c r="AH16">
        <f ca="1">IF(AND(ISNUMBER($AH$68),$B$53=1),$AH$68,HLOOKUP(INDIRECT(ADDRESS(2,COLUMN())),OFFSET($BM$2,0,0,ROW()-1,59),ROW()-1,FALSE))</f>
        <v>9848.2986070000006</v>
      </c>
      <c r="AI16">
        <f ca="1">IF(AND(ISNUMBER($AI$68),$B$53=1),$AI$68,HLOOKUP(INDIRECT(ADDRESS(2,COLUMN())),OFFSET($BM$2,0,0,ROW()-1,59),ROW()-1,FALSE))</f>
        <v>9344.8794359999993</v>
      </c>
      <c r="AJ16">
        <f ca="1">IF(AND(ISNUMBER($AJ$68),$B$53=1),$AJ$68,HLOOKUP(INDIRECT(ADDRESS(2,COLUMN())),OFFSET($BM$2,0,0,ROW()-1,59),ROW()-1,FALSE))</f>
        <v>7823.2951050000001</v>
      </c>
      <c r="AK16">
        <f ca="1">IF(AND(ISNUMBER($AK$68),$B$53=1),$AK$68,HLOOKUP(INDIRECT(ADDRESS(2,COLUMN())),OFFSET($BM$2,0,0,ROW()-1,59),ROW()-1,FALSE))</f>
        <v>9307.8169240000007</v>
      </c>
      <c r="AL16">
        <f ca="1">IF(AND(ISNUMBER($AL$68),$B$53=1),$AL$68,HLOOKUP(INDIRECT(ADDRESS(2,COLUMN())),OFFSET($BM$2,0,0,ROW()-1,59),ROW()-1,FALSE))</f>
        <v>8844.2857999999997</v>
      </c>
      <c r="AM16">
        <f ca="1">IF(AND(ISNUMBER($AM$68),$B$53=1),$AM$68,HLOOKUP(INDIRECT(ADDRESS(2,COLUMN())),OFFSET($BM$2,0,0,ROW()-1,59),ROW()-1,FALSE))</f>
        <v>8222.5322789999991</v>
      </c>
      <c r="AN16">
        <f ca="1">IF(AND(ISNUMBER($AN$68),$B$53=1),$AN$68,HLOOKUP(INDIRECT(ADDRESS(2,COLUMN())),OFFSET($BM$2,0,0,ROW()-1,59),ROW()-1,FALSE))</f>
        <v>7560.5092850000001</v>
      </c>
      <c r="AO16">
        <f ca="1">IF(AND(ISNUMBER($AO$68),$B$53=1),$AO$68,HLOOKUP(INDIRECT(ADDRESS(2,COLUMN())),OFFSET($BM$2,0,0,ROW()-1,59),ROW()-1,FALSE))</f>
        <v>7688.0722960000003</v>
      </c>
      <c r="AP16">
        <f ca="1">IF(AND(ISNUMBER($AP$68),$B$53=1),$AP$68,HLOOKUP(INDIRECT(ADDRESS(2,COLUMN())),OFFSET($BM$2,0,0,ROW()-1,59),ROW()-1,FALSE))</f>
        <v>7753.9078929999996</v>
      </c>
      <c r="AQ16">
        <f ca="1">IF(AND(ISNUMBER($AQ$68),$B$53=1),$AQ$68,HLOOKUP(INDIRECT(ADDRESS(2,COLUMN())),OFFSET($BM$2,0,0,ROW()-1,59),ROW()-1,FALSE))</f>
        <v>7029.1110349999999</v>
      </c>
      <c r="AR16">
        <f ca="1">IF(AND(ISNUMBER($AR$68),$B$53=1),$AR$68,HLOOKUP(INDIRECT(ADDRESS(2,COLUMN())),OFFSET($BM$2,0,0,ROW()-1,59),ROW()-1,FALSE))</f>
        <v>5575.4319809999997</v>
      </c>
      <c r="AS16">
        <f ca="1">IF(AND(ISNUMBER($AS$68),$B$53=1),$AS$68,HLOOKUP(INDIRECT(ADDRESS(2,COLUMN())),OFFSET($BM$2,0,0,ROW()-1,59),ROW()-1,FALSE))</f>
        <v>5751.5357919999997</v>
      </c>
      <c r="AT16">
        <f ca="1">IF(AND(ISNUMBER($AT$68),$B$53=1),$AT$68,HLOOKUP(INDIRECT(ADDRESS(2,COLUMN())),OFFSET($BM$2,0,0,ROW()-1,59),ROW()-1,FALSE))</f>
        <v>6158.6011820000003</v>
      </c>
      <c r="AU16">
        <f ca="1">IF(AND(ISNUMBER($AU$68),$B$53=1),$AU$68,HLOOKUP(INDIRECT(ADDRESS(2,COLUMN())),OFFSET($BM$2,0,0,ROW()-1,59),ROW()-1,FALSE))</f>
        <v>8594.2787790000002</v>
      </c>
      <c r="AV16">
        <f ca="1">IF(AND(ISNUMBER($AV$68),$B$53=1),$AV$68,HLOOKUP(INDIRECT(ADDRESS(2,COLUMN())),OFFSET($BM$2,0,0,ROW()-1,59),ROW()-1,FALSE))</f>
        <v>7950.4809740000001</v>
      </c>
      <c r="AW16" t="str">
        <f ca="1">IF(AND(ISNUMBER($AW$68),$B$53=1),$AW$68,HLOOKUP(INDIRECT(ADDRESS(2,COLUMN())),OFFSET($BM$2,0,0,ROW()-1,59),ROW()-1,FALSE))</f>
        <v/>
      </c>
      <c r="AX16" t="str">
        <f ca="1">IF(AND(ISNUMBER($AX$68),$B$53=1),$AX$68,HLOOKUP(INDIRECT(ADDRESS(2,COLUMN())),OFFSET($BM$2,0,0,ROW()-1,59),ROW()-1,FALSE))</f>
        <v/>
      </c>
      <c r="AY16" t="str">
        <f ca="1">IF(AND(ISNUMBER($AY$68),$B$53=1),$AY$68,HLOOKUP(INDIRECT(ADDRESS(2,COLUMN())),OFFSET($BM$2,0,0,ROW()-1,59),ROW()-1,FALSE))</f>
        <v/>
      </c>
      <c r="AZ16" t="str">
        <f ca="1">IF(AND(ISNUMBER($AZ$68),$B$53=1),$AZ$68,HLOOKUP(INDIRECT(ADDRESS(2,COLUMN())),OFFSET($BM$2,0,0,ROW()-1,59),ROW()-1,FALSE))</f>
        <v/>
      </c>
      <c r="BA16" t="str">
        <f ca="1">IF(AND(ISNUMBER($BA$68),$B$53=1),$BA$68,HLOOKUP(INDIRECT(ADDRESS(2,COLUMN())),OFFSET($BM$2,0,0,ROW()-1,59),ROW()-1,FALSE))</f>
        <v/>
      </c>
      <c r="BB16" t="str">
        <f ca="1">IF(AND(ISNUMBER($BB$68),$B$53=1),$BB$68,HLOOKUP(INDIRECT(ADDRESS(2,COLUMN())),OFFSET($BM$2,0,0,ROW()-1,59),ROW()-1,FALSE))</f>
        <v/>
      </c>
      <c r="BC16" t="str">
        <f ca="1">IF(AND(ISNUMBER($BC$68),$B$53=1),$BC$68,HLOOKUP(INDIRECT(ADDRESS(2,COLUMN())),OFFSET($BM$2,0,0,ROW()-1,59),ROW()-1,FALSE))</f>
        <v/>
      </c>
      <c r="BD16" t="str">
        <f ca="1">IF(AND(ISNUMBER($BD$68),$B$53=1),$BD$68,HLOOKUP(INDIRECT(ADDRESS(2,COLUMN())),OFFSET($BM$2,0,0,ROW()-1,59),ROW()-1,FALSE))</f>
        <v/>
      </c>
      <c r="BE16" t="str">
        <f ca="1">IF(AND(ISNUMBER($BE$68),$B$53=1),$BE$68,HLOOKUP(INDIRECT(ADDRESS(2,COLUMN())),OFFSET($BM$2,0,0,ROW()-1,59),ROW()-1,FALSE))</f>
        <v/>
      </c>
      <c r="BF16" t="str">
        <f ca="1">IF(AND(ISNUMBER($BF$68),$B$53=1),$BF$68,HLOOKUP(INDIRECT(ADDRESS(2,COLUMN())),OFFSET($BM$2,0,0,ROW()-1,59),ROW()-1,FALSE))</f>
        <v/>
      </c>
      <c r="BG16" t="str">
        <f ca="1">IF(AND(ISNUMBER($BG$68),$B$53=1),$BG$68,HLOOKUP(INDIRECT(ADDRESS(2,COLUMN())),OFFSET($BM$2,0,0,ROW()-1,59),ROW()-1,FALSE))</f>
        <v/>
      </c>
      <c r="BH16" t="str">
        <f ca="1">IF(AND(ISNUMBER($BH$68),$B$53=1),$BH$68,HLOOKUP(INDIRECT(ADDRESS(2,COLUMN())),OFFSET($BM$2,0,0,ROW()-1,59),ROW()-1,FALSE))</f>
        <v/>
      </c>
      <c r="BI16" t="str">
        <f ca="1">IF(AND(ISNUMBER($BI$68),$B$53=1),$BI$68,HLOOKUP(INDIRECT(ADDRESS(2,COLUMN())),OFFSET($BM$2,0,0,ROW()-1,59),ROW()-1,FALSE))</f>
        <v/>
      </c>
      <c r="BJ16" t="str">
        <f ca="1">IF(AND(ISNUMBER($BJ$68),$B$53=1),$BJ$68,HLOOKUP(INDIRECT(ADDRESS(2,COLUMN())),OFFSET($BM$2,0,0,ROW()-1,59),ROW()-1,FALSE))</f>
        <v/>
      </c>
      <c r="BK16" t="str">
        <f ca="1">IF(AND(ISNUMBER($BK$68),$B$53=1),$BK$68,HLOOKUP(INDIRECT(ADDRESS(2,COLUMN())),OFFSET($BM$2,0,0,ROW()-1,59),ROW()-1,FALSE))</f>
        <v/>
      </c>
      <c r="BL16" t="str">
        <f ca="1">IF(AND(ISNUMBER($BL$68),$B$53=1),$BL$68,HLOOKUP(INDIRECT(ADDRESS(2,COLUMN())),OFFSET($BM$2,0,0,ROW()-1,59),ROW()-1,FALSE))</f>
        <v/>
      </c>
      <c r="BM16">
        <f>13591.96864</f>
        <v>13591.968639999999</v>
      </c>
      <c r="BN16">
        <f>11640.52456</f>
        <v>11640.52456</v>
      </c>
      <c r="BO16">
        <f>11709.28719</f>
        <v>11709.287189999999</v>
      </c>
      <c r="BP16">
        <f>14667.26675</f>
        <v>14667.266750000001</v>
      </c>
      <c r="BQ16">
        <f>12610.89696</f>
        <v>12610.89696</v>
      </c>
      <c r="BR16">
        <f>12836.80368</f>
        <v>12836.803680000001</v>
      </c>
      <c r="BS16">
        <f>13194.18439</f>
        <v>13194.18439</v>
      </c>
      <c r="BT16">
        <f>14569.23477</f>
        <v>14569.234769999999</v>
      </c>
      <c r="BU16">
        <f>13506.48499</f>
        <v>13506.484990000001</v>
      </c>
      <c r="BV16">
        <f>12982.67838</f>
        <v>12982.678379999999</v>
      </c>
      <c r="BW16">
        <f>12494.08502</f>
        <v>12494.08502</v>
      </c>
      <c r="BX16">
        <f>13170.15671</f>
        <v>13170.156709999999</v>
      </c>
      <c r="BY16">
        <f>12024.33591</f>
        <v>12024.33591</v>
      </c>
      <c r="BZ16">
        <f>11939.78231</f>
        <v>11939.782310000001</v>
      </c>
      <c r="CA16">
        <f>11761.3847</f>
        <v>11761.384700000001</v>
      </c>
      <c r="CB16">
        <f>12546.4277</f>
        <v>12546.4277</v>
      </c>
      <c r="CC16">
        <f>11571.38649</f>
        <v>11571.386490000001</v>
      </c>
      <c r="CD16">
        <f>11150.08105</f>
        <v>11150.081050000001</v>
      </c>
      <c r="CE16">
        <f>10643.27651</f>
        <v>10643.27651</v>
      </c>
      <c r="CF16">
        <f>13567.2783</f>
        <v>13567.2783</v>
      </c>
      <c r="CG16">
        <f>10137.50566</f>
        <v>10137.505660000001</v>
      </c>
      <c r="CH16">
        <f>11049.84416</f>
        <v>11049.844160000001</v>
      </c>
      <c r="CI16">
        <f>9964.278434</f>
        <v>9964.2784339999998</v>
      </c>
      <c r="CJ16">
        <f>12814.58876</f>
        <v>12814.588760000001</v>
      </c>
      <c r="CK16">
        <f>9415.121413</f>
        <v>9415.1214130000008</v>
      </c>
      <c r="CL16">
        <f>10581.01315</f>
        <v>10581.013150000001</v>
      </c>
      <c r="CM16">
        <f>8441.024927</f>
        <v>8441.0249270000004</v>
      </c>
      <c r="CN16">
        <f>10551.70391</f>
        <v>10551.70391</v>
      </c>
      <c r="CO16">
        <f>9848.298607</f>
        <v>9848.2986070000006</v>
      </c>
      <c r="CP16">
        <f>9344.879436</f>
        <v>9344.8794359999993</v>
      </c>
      <c r="CQ16">
        <f>7823.295105</f>
        <v>7823.2951050000001</v>
      </c>
      <c r="CR16">
        <f>9307.816924</f>
        <v>9307.8169240000007</v>
      </c>
      <c r="CS16">
        <f>8844.2858</f>
        <v>8844.2857999999997</v>
      </c>
      <c r="CT16">
        <f>8222.532279</f>
        <v>8222.5322789999991</v>
      </c>
      <c r="CU16">
        <f>7560.509285</f>
        <v>7560.5092850000001</v>
      </c>
      <c r="CV16">
        <f>7688.072296</f>
        <v>7688.0722960000003</v>
      </c>
      <c r="CW16">
        <f>7753.907893</f>
        <v>7753.9078929999996</v>
      </c>
      <c r="CX16">
        <f>7029.111035</f>
        <v>7029.1110349999999</v>
      </c>
      <c r="CY16">
        <f>5575.431981</f>
        <v>5575.4319809999997</v>
      </c>
      <c r="CZ16">
        <f>5751.535792</f>
        <v>5751.5357919999997</v>
      </c>
      <c r="DA16">
        <f>6158.601182</f>
        <v>6158.6011820000003</v>
      </c>
      <c r="DB16">
        <f>8594.278779</f>
        <v>8594.2787790000002</v>
      </c>
      <c r="DC16">
        <f>7950.480974</f>
        <v>7950.4809740000001</v>
      </c>
      <c r="DD16" t="str">
        <f>""</f>
        <v/>
      </c>
      <c r="DE16" t="str">
        <f>""</f>
        <v/>
      </c>
      <c r="DF16" t="str">
        <f>""</f>
        <v/>
      </c>
      <c r="DG16" t="str">
        <f>""</f>
        <v/>
      </c>
      <c r="DH16" t="str">
        <f>""</f>
        <v/>
      </c>
      <c r="DI16" t="str">
        <f>""</f>
        <v/>
      </c>
      <c r="DJ16" t="str">
        <f>""</f>
        <v/>
      </c>
      <c r="DK16" t="str">
        <f>""</f>
        <v/>
      </c>
      <c r="DL16" t="str">
        <f>""</f>
        <v/>
      </c>
      <c r="DM16" t="str">
        <f>""</f>
        <v/>
      </c>
      <c r="DN16" t="str">
        <f>""</f>
        <v/>
      </c>
      <c r="DO16" t="str">
        <f>""</f>
        <v/>
      </c>
      <c r="DP16" t="str">
        <f>""</f>
        <v/>
      </c>
      <c r="DQ16" t="str">
        <f>""</f>
        <v/>
      </c>
      <c r="DR16" t="str">
        <f>""</f>
        <v/>
      </c>
      <c r="DS16" t="str">
        <f>""</f>
        <v/>
      </c>
    </row>
    <row r="17" spans="1:123" x14ac:dyDescent="0.25">
      <c r="A17" t="str">
        <f>"By Geography ($M) - Fiat Chrysler"</f>
        <v>By Geography ($M) - Fiat Chrysler</v>
      </c>
      <c r="B17" t="str">
        <f>"FCAU US Equity"</f>
        <v>FCAU US Equity</v>
      </c>
      <c r="E17" t="str">
        <f>"Sum"</f>
        <v>Sum</v>
      </c>
      <c r="F17">
        <f ca="1">IF(ISERROR(IF(SUM($F$18,$F$20) = 0, "", SUM($F$18,$F$20))), "", (IF(SUM($F$18,$F$20) = 0, "", SUM($F$18,$F$20))))</f>
        <v>65517.827940000003</v>
      </c>
      <c r="G17">
        <f ca="1">IF(ISERROR(IF(SUM($G$18,$G$20) = 0, "", SUM($G$18,$G$20))), "", (IF(SUM($G$18,$G$20) = 0, "", SUM($G$18,$G$20))))</f>
        <v>65545.189230000004</v>
      </c>
      <c r="H17">
        <f ca="1">IF(ISERROR(IF(SUM($H$18,$H$20) = 0, "", SUM($H$18,$H$20))), "", (IF(SUM($H$18,$H$20) = 0, "", SUM($H$18,$H$20))))</f>
        <v>69130.333799999993</v>
      </c>
      <c r="I17">
        <f ca="1">IF(ISERROR(IF(SUM($I$18,$I$20) = 0, "", SUM($I$18,$I$20))), "", (IF(SUM($I$18,$I$20) = 0, "", SUM($I$18,$I$20))))</f>
        <v>66430.478260000004</v>
      </c>
      <c r="J17">
        <f ca="1">IF(ISERROR(IF(SUM($J$18,$J$20) = 0, "", SUM($J$18,$J$20))), "", (IF(SUM($J$18,$J$20) = 0, "", SUM($J$18,$J$20))))</f>
        <v>61887.760250000007</v>
      </c>
      <c r="K17">
        <f ca="1">IF(ISERROR(IF(SUM($K$18,$K$20) = 0, "", SUM($K$18,$K$20))), "", (IF(SUM($K$18,$K$20) = 0, "", SUM($K$18,$K$20))))</f>
        <v>29629.741184889997</v>
      </c>
      <c r="L17">
        <f ca="1">IF(ISERROR(IF(SUM($L$18,$L$20) = 0, "", SUM($L$18,$L$20))), "", (IF(SUM($L$18,$L$20) = 0, "", SUM($L$18,$L$20))))</f>
        <v>30746.488300000001</v>
      </c>
      <c r="M17">
        <f ca="1">IF(ISERROR(IF(SUM($M$18,$M$20) = 0, "", SUM($M$18,$M$20))), "", (IF(SUM($M$18,$M$20) = 0, "", SUM($M$18,$M$20))))</f>
        <v>29525.85022</v>
      </c>
      <c r="N17">
        <f ca="1">IF(ISERROR(IF(SUM($N$18,$N$20) = 0, "", SUM($N$18,$N$20))), "", (IF(SUM($N$18,$N$20) = 0, "", SUM($N$18,$N$20))))</f>
        <v>32036.313880000002</v>
      </c>
      <c r="O17">
        <f ca="1">IF(ISERROR(IF(SUM($O$18,$O$20) = 0, "", SUM($O$18,$O$20))), "", (IF(SUM($O$18,$O$20) = 0, "", SUM($O$18,$O$20))))</f>
        <v>29954.146000000001</v>
      </c>
      <c r="P17">
        <f ca="1">IF(ISERROR(IF(SUM($P$18,$P$20) = 0, "", SUM($P$18,$P$20))), "", (IF(SUM($P$18,$P$20) = 0, "", SUM($P$18,$P$20))))</f>
        <v>31506.81064</v>
      </c>
      <c r="Q17">
        <f ca="1">IF(ISERROR(IF(SUM($Q$18,$Q$20) = 0, "", SUM($Q$18,$Q$20))), "", (IF(SUM($Q$18,$Q$20) = 0, "", SUM($Q$18,$Q$20))))</f>
        <v>29318.509119999999</v>
      </c>
      <c r="R17">
        <f ca="1">IF(ISERROR(IF(SUM($R$18,$R$20) = 0, "", SUM($R$18,$R$20))), "", (IF(SUM($R$18,$R$20) = 0, "", SUM($R$18,$R$20))))</f>
        <v>32213.027330000001</v>
      </c>
      <c r="S17">
        <f ca="1">IF(ISERROR(IF(SUM($S$18,$S$20) = 0, "", SUM($S$18,$S$20))), "", (IF(SUM($S$18,$S$20) = 0, "", SUM($S$18,$S$20))))</f>
        <v>29798.529429999999</v>
      </c>
      <c r="T17">
        <f ca="1">IF(ISERROR(IF(SUM($T$18,$T$20) = 0, "", SUM($T$18,$T$20))), "", (IF(SUM($T$18,$T$20) = 0, "", SUM($T$18,$T$20))))</f>
        <v>31589.380450000001</v>
      </c>
      <c r="U17">
        <f ca="1">IF(ISERROR(IF(SUM($U$18,$U$20) = 0, "", SUM($U$18,$U$20))), "", (IF(SUM($U$18,$U$20) = 0, "", SUM($U$18,$U$20))))</f>
        <v>29111.626680000001</v>
      </c>
      <c r="V17">
        <f ca="1">IF(ISERROR(IF(SUM($V$18,$V$20) = 0, "", SUM($V$18,$V$20))), "", (IF(SUM($V$18,$V$20) = 0, "", SUM($V$18,$V$20))))</f>
        <v>30761.164430000001</v>
      </c>
      <c r="W17">
        <f ca="1">IF(ISERROR(IF(SUM($W$18,$W$20) = 0, "", SUM($W$18,$W$20))), "", (IF(SUM($W$18,$W$20) = 0, "", SUM($W$18,$W$20))))</f>
        <v>31214.65351</v>
      </c>
      <c r="X17">
        <f ca="1">IF(ISERROR(IF(SUM($X$18,$X$20) = 0, "", SUM($X$18,$X$20))), "", (IF(SUM($X$18,$X$20) = 0, "", SUM($X$18,$X$20))))</f>
        <v>63986.152280000002</v>
      </c>
      <c r="Y17">
        <f ca="1">IF(ISERROR(IF(SUM($Y$18,$Y$20) = 0, "", SUM($Y$18,$Y$20))), "", (IF(SUM($Y$18,$Y$20) = 0, "", SUM($Y$18,$Y$20))))</f>
        <v>60640.054799999998</v>
      </c>
      <c r="Z17">
        <f ca="1">IF(ISERROR(IF(SUM($Z$18,$Z$20) = 0, "", SUM($Z$18,$Z$20))), "", (IF(SUM($Z$18,$Z$20) = 0, "", SUM($Z$18,$Z$20))))</f>
        <v>65277.172529999996</v>
      </c>
      <c r="AA17">
        <f ca="1">IF(ISERROR(IF(SUM($AA$18,$AA$20) = 0, "", SUM($AA$18,$AA$20))), "", (IF(SUM($AA$18,$AA$20) = 0, "", SUM($AA$18,$AA$20))))</f>
        <v>54875.679000000004</v>
      </c>
      <c r="AB17">
        <f ca="1">IF(ISERROR(IF(SUM($AB$18,$AB$20) = 0, "", SUM($AB$18,$AB$20))), "", (IF(SUM($AB$18,$AB$20) = 0, "", SUM($AB$18,$AB$20))))</f>
        <v>29104.02493</v>
      </c>
      <c r="AC17">
        <f ca="1">IF(ISERROR(IF(SUM($AC$18,$AC$20) = 0, "", SUM($AC$18,$AC$20))), "", (IF(SUM($AC$18,$AC$20) = 0, "", SUM($AC$18,$AC$20))))</f>
        <v>26018.035879999999</v>
      </c>
      <c r="AD17">
        <f ca="1">IF(ISERROR(IF(SUM($AD$18,$AD$20) = 0, "", SUM($AD$18,$AD$20))), "", (IF(SUM($AD$18,$AD$20) = 0, "", SUM($AD$18,$AD$20))))</f>
        <v>28253.430369999998</v>
      </c>
      <c r="AE17">
        <f ca="1">IF(ISERROR(IF(SUM($AE$18,$AE$20) = 0, "", SUM($AE$18,$AE$20))), "", (IF(SUM($AE$18,$AE$20) = 0, "", SUM($AE$18,$AE$20))))</f>
        <v>25566.723160000001</v>
      </c>
      <c r="AF17">
        <f ca="1">IF(ISERROR(IF(SUM($AF$18,$AF$20) = 0, "", SUM($AF$18,$AF$20))), "", (IF(SUM($AF$18,$AF$20) = 0, "", SUM($AF$18,$AF$20))))</f>
        <v>27619.6829</v>
      </c>
      <c r="AG17">
        <f ca="1">IF(ISERROR(IF(SUM($AG$18,$AG$20) = 0, "", SUM($AG$18,$AG$20))), "", (IF(SUM($AG$18,$AG$20) = 0, "", SUM($AG$18,$AG$20))))</f>
        <v>26521.51051</v>
      </c>
      <c r="AH17">
        <f ca="1">IF(ISERROR(IF(SUM($AH$18,$AH$20) = 0, "", SUM($AH$18,$AH$20))), "", (IF(SUM($AH$18,$AH$20) = 0, "", SUM($AH$18,$AH$20))))</f>
        <v>26470.296040000001</v>
      </c>
      <c r="AI17">
        <f ca="1">IF(ISERROR(IF(SUM($AI$18,$AI$20) = 0, "", SUM($AI$18,$AI$20))), "", (IF(SUM($AI$18,$AI$20) = 0, "", SUM($AI$18,$AI$20))))</f>
        <v>24795.985649999999</v>
      </c>
      <c r="AJ17">
        <f ca="1">IF(ISERROR(IF(SUM($AJ$18,$AJ$20) = 0, "", SUM($AJ$18,$AJ$20))), "", (IF(SUM($AJ$18,$AJ$20) = 0, "", SUM($AJ$18,$AJ$20))))</f>
        <v>18934.862519999999</v>
      </c>
      <c r="AK17">
        <f ca="1">IF(ISERROR(IF(SUM($AK$18,$AK$20) = 0, "", SUM($AK$18,$AK$20))), "", (IF(SUM($AK$18,$AK$20) = 0, "", SUM($AK$18,$AK$20))))</f>
        <v>12609.752060000001</v>
      </c>
      <c r="AL17">
        <f ca="1">IF(ISERROR(IF(SUM($AL$18,$AL$20) = 0, "", SUM($AL$18,$AL$20))), "", (IF(SUM($AL$18,$AL$20) = 0, "", SUM($AL$18,$AL$20))))</f>
        <v>12831.47739</v>
      </c>
      <c r="AM17">
        <f ca="1">IF(ISERROR(IF(SUM($AM$18,$AM$20) = 0, "", SUM($AM$18,$AM$20))), "", (IF(SUM($AM$18,$AM$20) = 0, "", SUM($AM$18,$AM$20))))</f>
        <v>10915.26262</v>
      </c>
      <c r="AN17">
        <f ca="1">IF(ISERROR(IF(SUM($AN$18,$AN$20) = 0, "", SUM($AN$18,$AN$20))), "", (IF(SUM($AN$18,$AN$20) = 0, "", SUM($AN$18,$AN$20))))</f>
        <v>11944.561750000001</v>
      </c>
      <c r="AO17">
        <f ca="1">IF(ISERROR(IF(SUM($AO$18,$AO$20) = 0, "", SUM($AO$18,$AO$20))), "", (IF(SUM($AO$18,$AO$20) = 0, "", SUM($AO$18,$AO$20))))</f>
        <v>11905.64532</v>
      </c>
      <c r="AP17" t="str">
        <f ca="1">IF(ISERROR(IF(SUM($AP$18,$AP$20) = 0, "", SUM($AP$18,$AP$20))), "", (IF(SUM($AP$18,$AP$20) = 0, "", SUM($AP$18,$AP$20))))</f>
        <v/>
      </c>
      <c r="AQ17">
        <f ca="1">IF(ISERROR(IF(SUM($AQ$18,$AQ$20) = 0, "", SUM($AQ$18,$AQ$20))), "", (IF(SUM($AQ$18,$AQ$20) = 0, "", SUM($AQ$18,$AQ$20))))</f>
        <v>17236.550899999998</v>
      </c>
      <c r="AR17">
        <f ca="1">IF(ISERROR(IF(SUM($AR$18,$AR$20) = 0, "", SUM($AR$18,$AR$20))), "", (IF(SUM($AR$18,$AR$20) = 0, "", SUM($AR$18,$AR$20))))</f>
        <v>17967.73935</v>
      </c>
      <c r="AS17">
        <f ca="1">IF(ISERROR(IF(SUM($AS$18,$AS$20) = 0, "", SUM($AS$18,$AS$20))), "", (IF(SUM($AS$18,$AS$20) = 0, "", SUM($AS$18,$AS$20))))</f>
        <v>14705.461859999999</v>
      </c>
      <c r="AT17">
        <f ca="1">IF(ISERROR(IF(SUM($AT$18,$AT$20) = 0, "", SUM($AT$18,$AT$20))), "", (IF(SUM($AT$18,$AT$20) = 0, "", SUM($AT$18,$AT$20))))</f>
        <v>17285.58282</v>
      </c>
      <c r="AU17">
        <f ca="1">IF(ISERROR(IF(SUM($AU$18,$AU$20) = 0, "", SUM($AU$18,$AU$20))), "", (IF(SUM($AU$18,$AU$20) = 0, "", SUM($AU$18,$AU$20))))</f>
        <v>21491.967410000001</v>
      </c>
      <c r="AV17">
        <f ca="1">IF(ISERROR(IF(SUM($AV$18,$AV$20) = 0, "", SUM($AV$18,$AV$20))), "", (IF(SUM($AV$18,$AV$20) = 0, "", SUM($AV$18,$AV$20))))</f>
        <v>26512.49324</v>
      </c>
      <c r="AW17">
        <f ca="1">IF(ISERROR(IF(SUM($AW$18,$AW$20) = 0, "", SUM($AW$18,$AW$20))), "", (IF(SUM($AW$18,$AW$20) = 0, "", SUM($AW$18,$AW$20))))</f>
        <v>22524.146239999998</v>
      </c>
      <c r="AX17">
        <f ca="1">IF(ISERROR(IF(SUM($AX$18,$AX$20) = 0, "", SUM($AX$18,$AX$20))), "", (IF(SUM($AX$18,$AX$20) = 0, "", SUM($AX$18,$AX$20))))</f>
        <v>22905.458500000001</v>
      </c>
      <c r="AY17">
        <f ca="1">IF(ISERROR(IF(SUM($AY$18,$AY$20) = 0, "", SUM($AY$18,$AY$20))), "", (IF(SUM($AY$18,$AY$20) = 0, "", SUM($AY$18,$AY$20))))</f>
        <v>19049.312330000001</v>
      </c>
      <c r="AZ17">
        <f ca="1">IF(ISERROR(IF(SUM($AZ$18,$AZ$20) = 0, "", SUM($AZ$18,$AZ$20))), "", (IF(SUM($AZ$18,$AZ$20) = 0, "", SUM($AZ$18,$AZ$20))))</f>
        <v>20466.14227</v>
      </c>
      <c r="BA17">
        <f ca="1">IF(ISERROR(IF(SUM($BA$18,$BA$20) = 0, "", SUM($BA$18,$BA$20))), "", (IF(SUM($BA$18,$BA$20) = 0, "", SUM($BA$18,$BA$20))))</f>
        <v>17926.897400000002</v>
      </c>
      <c r="BB17">
        <f ca="1">IF(ISERROR(IF(SUM($BB$18,$BB$20) = 0, "", SUM($BB$18,$BB$20))), "", (IF(SUM($BB$18,$BB$20) = 0, "", SUM($BB$18,$BB$20))))</f>
        <v>17875.288089999998</v>
      </c>
      <c r="BC17">
        <f ca="1">IF(ISERROR(IF(SUM($BC$18,$BC$20) = 0, "", SUM($BC$18,$BC$20))), "", (IF(SUM($BC$18,$BC$20) = 0, "", SUM($BC$18,$BC$20))))</f>
        <v>15049.77385</v>
      </c>
      <c r="BD17">
        <f ca="1">IF(ISERROR(IF(SUM($BD$18,$BD$20) = 0, "", SUM($BD$18,$BD$20))), "", (IF(SUM($BD$18,$BD$20) = 0, "", SUM($BD$18,$BD$20))))</f>
        <v>17121.323909999999</v>
      </c>
      <c r="BE17">
        <f ca="1">IF(ISERROR(IF(SUM($BE$18,$BE$20) = 0, "", SUM($BE$18,$BE$20))), "", (IF(SUM($BE$18,$BE$20) = 0, "", SUM($BE$18,$BE$20))))</f>
        <v>15106.674129999999</v>
      </c>
      <c r="BF17">
        <f ca="1">IF(ISERROR(IF(SUM($BF$18,$BF$20) = 0, "", SUM($BF$18,$BF$20))), "", (IF(SUM($BF$18,$BF$20) = 0, "", SUM($BF$18,$BF$20))))</f>
        <v>15619.32595</v>
      </c>
      <c r="BG17">
        <f ca="1">IF(ISERROR(IF(SUM($BG$18,$BG$20) = 0, "", SUM($BG$18,$BG$20))), "", (IF(SUM($BG$18,$BG$20) = 0, "", SUM($BG$18,$BG$20))))</f>
        <v>12925.510120000001</v>
      </c>
      <c r="BH17">
        <f ca="1">IF(ISERROR(IF(SUM($BH$18,$BH$20) = 0, "", SUM($BH$18,$BH$20))), "", (IF(SUM($BH$18,$BH$20) = 0, "", SUM($BH$18,$BH$20))))</f>
        <v>15171.30791</v>
      </c>
      <c r="BI17">
        <f ca="1">IF(ISERROR(IF(SUM($BI$18,$BI$20) = 0, "", SUM($BI$18,$BI$20))), "", (IF(SUM($BI$18,$BI$20) = 0, "", SUM($BI$18,$BI$20))))</f>
        <v>14100.18311</v>
      </c>
      <c r="BJ17">
        <f ca="1">IF(ISERROR(IF(SUM($BJ$18,$BJ$20) = 0, "", SUM($BJ$18,$BJ$20))), "", (IF(SUM($BJ$18,$BJ$20) = 0, "", SUM($BJ$18,$BJ$20))))</f>
        <v>14959.87442</v>
      </c>
      <c r="BK17">
        <f ca="1">IF(ISERROR(IF(SUM($BK$18,$BK$20) = 0, "", SUM($BK$18,$BK$20))), "", (IF(SUM($BK$18,$BK$20) = 0, "", SUM($BK$18,$BK$20))))</f>
        <v>13019.801670000001</v>
      </c>
      <c r="BL17">
        <f ca="1">IF(ISERROR(IF(SUM($BL$18,$BL$20) = 0, "", SUM($BL$18,$BL$20))), "", (IF(SUM($BL$18,$BL$20) = 0, "", SUM($BL$18,$BL$20))))</f>
        <v>14860.61968</v>
      </c>
      <c r="BM17">
        <f>65517.82795</f>
        <v>65517.827949999999</v>
      </c>
      <c r="BN17">
        <f>65545.18923</f>
        <v>65545.189230000004</v>
      </c>
      <c r="BO17">
        <f>69130.3338</f>
        <v>69130.333799999993</v>
      </c>
      <c r="BP17">
        <f>66430.47827</f>
        <v>66430.478270000007</v>
      </c>
      <c r="BQ17">
        <f>61887.76026</f>
        <v>61887.760260000003</v>
      </c>
      <c r="BR17">
        <f>29629.74119</f>
        <v>29629.741190000001</v>
      </c>
      <c r="BS17">
        <f>30746.4883</f>
        <v>30746.488300000001</v>
      </c>
      <c r="BT17">
        <f>29525.85022</f>
        <v>29525.85022</v>
      </c>
      <c r="BU17">
        <f>32036.31388</f>
        <v>32036.313880000002</v>
      </c>
      <c r="BV17">
        <f>29954.146</f>
        <v>29954.146000000001</v>
      </c>
      <c r="BW17">
        <f>31506.81064</f>
        <v>31506.81064</v>
      </c>
      <c r="BX17">
        <f>29318.50912</f>
        <v>29318.509119999999</v>
      </c>
      <c r="BY17">
        <f>32213.02733</f>
        <v>32213.027330000001</v>
      </c>
      <c r="BZ17">
        <f>29798.52943</f>
        <v>29798.529429999999</v>
      </c>
      <c r="CA17">
        <f>31589.38045</f>
        <v>31589.380450000001</v>
      </c>
      <c r="CB17">
        <f>29111.62668</f>
        <v>29111.626680000001</v>
      </c>
      <c r="CC17">
        <f>30761.16443</f>
        <v>30761.164430000001</v>
      </c>
      <c r="CD17">
        <f>31214.65351</f>
        <v>31214.65351</v>
      </c>
      <c r="CE17">
        <f>63986.15228</f>
        <v>63986.152280000002</v>
      </c>
      <c r="CF17">
        <f>60640.0548</f>
        <v>60640.054799999998</v>
      </c>
      <c r="CG17">
        <f>65277.17253</f>
        <v>65277.172530000003</v>
      </c>
      <c r="CH17">
        <f>54875.67899</f>
        <v>54875.67899</v>
      </c>
      <c r="CI17">
        <f>29104.02493</f>
        <v>29104.02493</v>
      </c>
      <c r="CJ17">
        <f>26018.03588</f>
        <v>26018.035879999999</v>
      </c>
      <c r="CK17">
        <f>28253.43037</f>
        <v>28253.430369999998</v>
      </c>
      <c r="CL17">
        <f>25566.72316</f>
        <v>25566.723160000001</v>
      </c>
      <c r="CM17">
        <f>27619.6829</f>
        <v>27619.6829</v>
      </c>
      <c r="CN17">
        <f>26521.51051</f>
        <v>26521.51051</v>
      </c>
      <c r="CO17">
        <f>26470.29604</f>
        <v>26470.296040000001</v>
      </c>
      <c r="CP17">
        <f>24795.98565</f>
        <v>24795.985649999999</v>
      </c>
      <c r="CQ17">
        <f>18934.86252</f>
        <v>18934.862519999999</v>
      </c>
      <c r="CR17">
        <f>12609.75206</f>
        <v>12609.752060000001</v>
      </c>
      <c r="CS17">
        <f>12831.47739</f>
        <v>12831.47739</v>
      </c>
      <c r="CT17">
        <f>10915.26262</f>
        <v>10915.26262</v>
      </c>
      <c r="CU17">
        <f>11944.56175</f>
        <v>11944.561750000001</v>
      </c>
      <c r="CV17">
        <f>11905.64532</f>
        <v>11905.64532</v>
      </c>
      <c r="CW17" t="str">
        <f>""</f>
        <v/>
      </c>
      <c r="CX17">
        <f>17236.5509</f>
        <v>17236.550899999998</v>
      </c>
      <c r="CY17">
        <f>17967.73935</f>
        <v>17967.73935</v>
      </c>
      <c r="CZ17">
        <f>14705.46186</f>
        <v>14705.461859999999</v>
      </c>
      <c r="DA17">
        <f>17285.58282</f>
        <v>17285.58282</v>
      </c>
      <c r="DB17">
        <f>21491.96741</f>
        <v>21491.967410000001</v>
      </c>
      <c r="DC17">
        <f>26512.49324</f>
        <v>26512.49324</v>
      </c>
      <c r="DD17">
        <f>22524.14624</f>
        <v>22524.146239999998</v>
      </c>
      <c r="DE17">
        <f>22905.4585</f>
        <v>22905.458500000001</v>
      </c>
      <c r="DF17">
        <f>19049.31233</f>
        <v>19049.312330000001</v>
      </c>
      <c r="DG17">
        <f>20466.14227</f>
        <v>20466.14227</v>
      </c>
      <c r="DH17">
        <f>17926.8974</f>
        <v>17926.897400000002</v>
      </c>
      <c r="DI17">
        <f>17875.28809</f>
        <v>17875.288089999998</v>
      </c>
      <c r="DJ17">
        <f>15049.77385</f>
        <v>15049.77385</v>
      </c>
      <c r="DK17">
        <f>17121.32391</f>
        <v>17121.323909999999</v>
      </c>
      <c r="DL17">
        <f>15106.67413</f>
        <v>15106.674129999999</v>
      </c>
      <c r="DM17">
        <f>15619.32595</f>
        <v>15619.32595</v>
      </c>
      <c r="DN17">
        <f>12925.51012</f>
        <v>12925.510120000001</v>
      </c>
      <c r="DO17">
        <f>15171.30791</f>
        <v>15171.30791</v>
      </c>
      <c r="DP17">
        <f>14100.18311</f>
        <v>14100.18311</v>
      </c>
      <c r="DQ17">
        <f>14959.87442</f>
        <v>14959.87442</v>
      </c>
      <c r="DR17">
        <f>13019.80167</f>
        <v>13019.801670000001</v>
      </c>
      <c r="DS17">
        <f>14860.61968</f>
        <v>14860.61968</v>
      </c>
    </row>
    <row r="18" spans="1:123" x14ac:dyDescent="0.25">
      <c r="A18" t="str">
        <f>"        Fiat Chrysler"</f>
        <v xml:space="preserve">        Fiat Chrysler</v>
      </c>
      <c r="B18" t="str">
        <f>"FCAU US Equity"</f>
        <v>FCAU US Equity</v>
      </c>
      <c r="C18" t="str">
        <f>"IS010"</f>
        <v>IS010</v>
      </c>
      <c r="D18" t="str">
        <f>"SALES_REV_TURN"</f>
        <v>SALES_REV_TURN</v>
      </c>
      <c r="E18" t="str">
        <f t="shared" ref="E18:E37" si="1">"Dynamic"</f>
        <v>Dynamic</v>
      </c>
      <c r="F18">
        <f ca="1">IF(AND(ISNUMBER($F$69),$B$53=1),$F$69,HLOOKUP(INDIRECT(ADDRESS(2,COLUMN())),OFFSET($BM$2,0,0,ROW()-1,59),ROW()-1,FALSE))</f>
        <v>30578.86607</v>
      </c>
      <c r="G18">
        <f ca="1">IF(AND(ISNUMBER($G$69),$B$53=1),$G$69,HLOOKUP(INDIRECT(ADDRESS(2,COLUMN())),OFFSET($BM$2,0,0,ROW()-1,59),ROW()-1,FALSE))</f>
        <v>32088.24539</v>
      </c>
      <c r="H18">
        <f ca="1">IF(AND(ISNUMBER($H$69),$B$53=1),$H$69,HLOOKUP(INDIRECT(ADDRESS(2,COLUMN())),OFFSET($BM$2,0,0,ROW()-1,59),ROW()-1,FALSE))</f>
        <v>34565.166899999997</v>
      </c>
      <c r="I18">
        <f ca="1">IF(AND(ISNUMBER($I$69),$B$53=1),$I$69,HLOOKUP(INDIRECT(ADDRESS(2,COLUMN())),OFFSET($BM$2,0,0,ROW()-1,59),ROW()-1,FALSE))</f>
        <v>33215.239130000002</v>
      </c>
      <c r="J18">
        <f ca="1">IF(AND(ISNUMBER($J$69),$B$53=1),$J$69,HLOOKUP(INDIRECT(ADDRESS(2,COLUMN())),OFFSET($BM$2,0,0,ROW()-1,59),ROW()-1,FALSE))</f>
        <v>27879.406650000001</v>
      </c>
      <c r="K18">
        <f ca="1">IF(AND(ISNUMBER($K$69),$B$53=1),$K$69,HLOOKUP(INDIRECT(ADDRESS(2,COLUMN())),OFFSET($BM$2,0,0,ROW()-1,59),ROW()-1,FALSE))</f>
        <v>29598.706719999998</v>
      </c>
      <c r="L18">
        <f ca="1">IF(AND(ISNUMBER($L$69),$B$53=1),$L$69,HLOOKUP(INDIRECT(ADDRESS(2,COLUMN())),OFFSET($BM$2,0,0,ROW()-1,59),ROW()-1,FALSE))</f>
        <v>30746.488300000001</v>
      </c>
      <c r="M18">
        <f ca="1">IF(AND(ISNUMBER($M$69),$B$53=1),$M$69,HLOOKUP(INDIRECT(ADDRESS(2,COLUMN())),OFFSET($BM$2,0,0,ROW()-1,59),ROW()-1,FALSE))</f>
        <v>29525.85022</v>
      </c>
      <c r="N18">
        <f ca="1">IF(AND(ISNUMBER($N$69),$B$53=1),$N$69,HLOOKUP(INDIRECT(ADDRESS(2,COLUMN())),OFFSET($BM$2,0,0,ROW()-1,59),ROW()-1,FALSE))</f>
        <v>32036.313880000002</v>
      </c>
      <c r="O18">
        <f ca="1">IF(AND(ISNUMBER($O$69),$B$53=1),$O$69,HLOOKUP(INDIRECT(ADDRESS(2,COLUMN())),OFFSET($BM$2,0,0,ROW()-1,59),ROW()-1,FALSE))</f>
        <v>29954.146000000001</v>
      </c>
      <c r="P18">
        <f ca="1">IF(AND(ISNUMBER($P$69),$B$53=1),$P$69,HLOOKUP(INDIRECT(ADDRESS(2,COLUMN())),OFFSET($BM$2,0,0,ROW()-1,59),ROW()-1,FALSE))</f>
        <v>31506.81064</v>
      </c>
      <c r="Q18">
        <f ca="1">IF(AND(ISNUMBER($Q$69),$B$53=1),$Q$69,HLOOKUP(INDIRECT(ADDRESS(2,COLUMN())),OFFSET($BM$2,0,0,ROW()-1,59),ROW()-1,FALSE))</f>
        <v>29318.509119999999</v>
      </c>
      <c r="R18">
        <f ca="1">IF(AND(ISNUMBER($R$69),$B$53=1),$R$69,HLOOKUP(INDIRECT(ADDRESS(2,COLUMN())),OFFSET($BM$2,0,0,ROW()-1,59),ROW()-1,FALSE))</f>
        <v>32213.027330000001</v>
      </c>
      <c r="S18">
        <f ca="1">IF(AND(ISNUMBER($S$69),$B$53=1),$S$69,HLOOKUP(INDIRECT(ADDRESS(2,COLUMN())),OFFSET($BM$2,0,0,ROW()-1,59),ROW()-1,FALSE))</f>
        <v>29798.529429999999</v>
      </c>
      <c r="T18">
        <f ca="1">IF(AND(ISNUMBER($T$69),$B$53=1),$T$69,HLOOKUP(INDIRECT(ADDRESS(2,COLUMN())),OFFSET($BM$2,0,0,ROW()-1,59),ROW()-1,FALSE))</f>
        <v>31589.380450000001</v>
      </c>
      <c r="U18">
        <f ca="1">IF(AND(ISNUMBER($U$69),$B$53=1),$U$69,HLOOKUP(INDIRECT(ADDRESS(2,COLUMN())),OFFSET($BM$2,0,0,ROW()-1,59),ROW()-1,FALSE))</f>
        <v>29111.626680000001</v>
      </c>
      <c r="V18">
        <f ca="1">IF(AND(ISNUMBER($V$69),$B$53=1),$V$69,HLOOKUP(INDIRECT(ADDRESS(2,COLUMN())),OFFSET($BM$2,0,0,ROW()-1,59),ROW()-1,FALSE))</f>
        <v>30761.164430000001</v>
      </c>
      <c r="W18">
        <f ca="1">IF(AND(ISNUMBER($W$69),$B$53=1),$W$69,HLOOKUP(INDIRECT(ADDRESS(2,COLUMN())),OFFSET($BM$2,0,0,ROW()-1,59),ROW()-1,FALSE))</f>
        <v>31214.65351</v>
      </c>
      <c r="X18">
        <f ca="1">IF(AND(ISNUMBER($X$69),$B$53=1),$X$69,HLOOKUP(INDIRECT(ADDRESS(2,COLUMN())),OFFSET($BM$2,0,0,ROW()-1,59),ROW()-1,FALSE))</f>
        <v>31993.076140000001</v>
      </c>
      <c r="Y18">
        <f ca="1">IF(AND(ISNUMBER($Y$69),$B$53=1),$Y$69,HLOOKUP(INDIRECT(ADDRESS(2,COLUMN())),OFFSET($BM$2,0,0,ROW()-1,59),ROW()-1,FALSE))</f>
        <v>30320.027399999999</v>
      </c>
      <c r="Z18">
        <f ca="1">IF(AND(ISNUMBER($Z$69),$B$53=1),$Z$69,HLOOKUP(INDIRECT(ADDRESS(2,COLUMN())),OFFSET($BM$2,0,0,ROW()-1,59),ROW()-1,FALSE))</f>
        <v>32599.101910000001</v>
      </c>
      <c r="AA18">
        <f ca="1">IF(AND(ISNUMBER($AA$69),$B$53=1),$AA$69,HLOOKUP(INDIRECT(ADDRESS(2,COLUMN())),OFFSET($BM$2,0,0,ROW()-1,59),ROW()-1,FALSE))</f>
        <v>27411.346150000001</v>
      </c>
      <c r="AB18" t="str">
        <f ca="1">IF(AND(ISNUMBER($AB$69),$B$53=1),$AB$69,HLOOKUP(INDIRECT(ADDRESS(2,COLUMN())),OFFSET($BM$2,0,0,ROW()-1,59),ROW()-1,FALSE))</f>
        <v/>
      </c>
      <c r="AC18" t="str">
        <f ca="1">IF(AND(ISNUMBER($AC$69),$B$53=1),$AC$69,HLOOKUP(INDIRECT(ADDRESS(2,COLUMN())),OFFSET($BM$2,0,0,ROW()-1,59),ROW()-1,FALSE))</f>
        <v/>
      </c>
      <c r="AD18" t="str">
        <f ca="1">IF(AND(ISNUMBER($AD$69),$B$53=1),$AD$69,HLOOKUP(INDIRECT(ADDRESS(2,COLUMN())),OFFSET($BM$2,0,0,ROW()-1,59),ROW()-1,FALSE))</f>
        <v/>
      </c>
      <c r="AE18" t="str">
        <f ca="1">IF(AND(ISNUMBER($AE$69),$B$53=1),$AE$69,HLOOKUP(INDIRECT(ADDRESS(2,COLUMN())),OFFSET($BM$2,0,0,ROW()-1,59),ROW()-1,FALSE))</f>
        <v/>
      </c>
      <c r="AF18" t="str">
        <f ca="1">IF(AND(ISNUMBER($AF$69),$B$53=1),$AF$69,HLOOKUP(INDIRECT(ADDRESS(2,COLUMN())),OFFSET($BM$2,0,0,ROW()-1,59),ROW()-1,FALSE))</f>
        <v/>
      </c>
      <c r="AG18" t="str">
        <f ca="1">IF(AND(ISNUMBER($AG$69),$B$53=1),$AG$69,HLOOKUP(INDIRECT(ADDRESS(2,COLUMN())),OFFSET($BM$2,0,0,ROW()-1,59),ROW()-1,FALSE))</f>
        <v/>
      </c>
      <c r="AH18" t="str">
        <f ca="1">IF(AND(ISNUMBER($AH$69),$B$53=1),$AH$69,HLOOKUP(INDIRECT(ADDRESS(2,COLUMN())),OFFSET($BM$2,0,0,ROW()-1,59),ROW()-1,FALSE))</f>
        <v/>
      </c>
      <c r="AI18" t="str">
        <f ca="1">IF(AND(ISNUMBER($AI$69),$B$53=1),$AI$69,HLOOKUP(INDIRECT(ADDRESS(2,COLUMN())),OFFSET($BM$2,0,0,ROW()-1,59),ROW()-1,FALSE))</f>
        <v/>
      </c>
      <c r="AJ18" t="str">
        <f ca="1">IF(AND(ISNUMBER($AJ$69),$B$53=1),$AJ$69,HLOOKUP(INDIRECT(ADDRESS(2,COLUMN())),OFFSET($BM$2,0,0,ROW()-1,59),ROW()-1,FALSE))</f>
        <v/>
      </c>
      <c r="AK18" t="str">
        <f ca="1">IF(AND(ISNUMBER($AK$69),$B$53=1),$AK$69,HLOOKUP(INDIRECT(ADDRESS(2,COLUMN())),OFFSET($BM$2,0,0,ROW()-1,59),ROW()-1,FALSE))</f>
        <v/>
      </c>
      <c r="AL18" t="str">
        <f ca="1">IF(AND(ISNUMBER($AL$69),$B$53=1),$AL$69,HLOOKUP(INDIRECT(ADDRESS(2,COLUMN())),OFFSET($BM$2,0,0,ROW()-1,59),ROW()-1,FALSE))</f>
        <v/>
      </c>
      <c r="AM18" t="str">
        <f ca="1">IF(AND(ISNUMBER($AM$69),$B$53=1),$AM$69,HLOOKUP(INDIRECT(ADDRESS(2,COLUMN())),OFFSET($BM$2,0,0,ROW()-1,59),ROW()-1,FALSE))</f>
        <v/>
      </c>
      <c r="AN18" t="str">
        <f ca="1">IF(AND(ISNUMBER($AN$69),$B$53=1),$AN$69,HLOOKUP(INDIRECT(ADDRESS(2,COLUMN())),OFFSET($BM$2,0,0,ROW()-1,59),ROW()-1,FALSE))</f>
        <v/>
      </c>
      <c r="AO18" t="str">
        <f ca="1">IF(AND(ISNUMBER($AO$69),$B$53=1),$AO$69,HLOOKUP(INDIRECT(ADDRESS(2,COLUMN())),OFFSET($BM$2,0,0,ROW()-1,59),ROW()-1,FALSE))</f>
        <v/>
      </c>
      <c r="AP18" t="str">
        <f ca="1">IF(AND(ISNUMBER($AP$69),$B$53=1),$AP$69,HLOOKUP(INDIRECT(ADDRESS(2,COLUMN())),OFFSET($BM$2,0,0,ROW()-1,59),ROW()-1,FALSE))</f>
        <v/>
      </c>
      <c r="AQ18" t="str">
        <f ca="1">IF(AND(ISNUMBER($AQ$69),$B$53=1),$AQ$69,HLOOKUP(INDIRECT(ADDRESS(2,COLUMN())),OFFSET($BM$2,0,0,ROW()-1,59),ROW()-1,FALSE))</f>
        <v/>
      </c>
      <c r="AR18" t="str">
        <f ca="1">IF(AND(ISNUMBER($AR$69),$B$53=1),$AR$69,HLOOKUP(INDIRECT(ADDRESS(2,COLUMN())),OFFSET($BM$2,0,0,ROW()-1,59),ROW()-1,FALSE))</f>
        <v/>
      </c>
      <c r="AS18" t="str">
        <f ca="1">IF(AND(ISNUMBER($AS$69),$B$53=1),$AS$69,HLOOKUP(INDIRECT(ADDRESS(2,COLUMN())),OFFSET($BM$2,0,0,ROW()-1,59),ROW()-1,FALSE))</f>
        <v/>
      </c>
      <c r="AT18" t="str">
        <f ca="1">IF(AND(ISNUMBER($AT$69),$B$53=1),$AT$69,HLOOKUP(INDIRECT(ADDRESS(2,COLUMN())),OFFSET($BM$2,0,0,ROW()-1,59),ROW()-1,FALSE))</f>
        <v/>
      </c>
      <c r="AU18" t="str">
        <f ca="1">IF(AND(ISNUMBER($AU$69),$B$53=1),$AU$69,HLOOKUP(INDIRECT(ADDRESS(2,COLUMN())),OFFSET($BM$2,0,0,ROW()-1,59),ROW()-1,FALSE))</f>
        <v/>
      </c>
      <c r="AV18" t="str">
        <f ca="1">IF(AND(ISNUMBER($AV$69),$B$53=1),$AV$69,HLOOKUP(INDIRECT(ADDRESS(2,COLUMN())),OFFSET($BM$2,0,0,ROW()-1,59),ROW()-1,FALSE))</f>
        <v/>
      </c>
      <c r="AW18" t="str">
        <f ca="1">IF(AND(ISNUMBER($AW$69),$B$53=1),$AW$69,HLOOKUP(INDIRECT(ADDRESS(2,COLUMN())),OFFSET($BM$2,0,0,ROW()-1,59),ROW()-1,FALSE))</f>
        <v/>
      </c>
      <c r="AX18" t="str">
        <f ca="1">IF(AND(ISNUMBER($AX$69),$B$53=1),$AX$69,HLOOKUP(INDIRECT(ADDRESS(2,COLUMN())),OFFSET($BM$2,0,0,ROW()-1,59),ROW()-1,FALSE))</f>
        <v/>
      </c>
      <c r="AY18" t="str">
        <f ca="1">IF(AND(ISNUMBER($AY$69),$B$53=1),$AY$69,HLOOKUP(INDIRECT(ADDRESS(2,COLUMN())),OFFSET($BM$2,0,0,ROW()-1,59),ROW()-1,FALSE))</f>
        <v/>
      </c>
      <c r="AZ18" t="str">
        <f ca="1">IF(AND(ISNUMBER($AZ$69),$B$53=1),$AZ$69,HLOOKUP(INDIRECT(ADDRESS(2,COLUMN())),OFFSET($BM$2,0,0,ROW()-1,59),ROW()-1,FALSE))</f>
        <v/>
      </c>
      <c r="BA18" t="str">
        <f ca="1">IF(AND(ISNUMBER($BA$69),$B$53=1),$BA$69,HLOOKUP(INDIRECT(ADDRESS(2,COLUMN())),OFFSET($BM$2,0,0,ROW()-1,59),ROW()-1,FALSE))</f>
        <v/>
      </c>
      <c r="BB18" t="str">
        <f ca="1">IF(AND(ISNUMBER($BB$69),$B$53=1),$BB$69,HLOOKUP(INDIRECT(ADDRESS(2,COLUMN())),OFFSET($BM$2,0,0,ROW()-1,59),ROW()-1,FALSE))</f>
        <v/>
      </c>
      <c r="BC18" t="str">
        <f ca="1">IF(AND(ISNUMBER($BC$69),$B$53=1),$BC$69,HLOOKUP(INDIRECT(ADDRESS(2,COLUMN())),OFFSET($BM$2,0,0,ROW()-1,59),ROW()-1,FALSE))</f>
        <v/>
      </c>
      <c r="BD18" t="str">
        <f ca="1">IF(AND(ISNUMBER($BD$69),$B$53=1),$BD$69,HLOOKUP(INDIRECT(ADDRESS(2,COLUMN())),OFFSET($BM$2,0,0,ROW()-1,59),ROW()-1,FALSE))</f>
        <v/>
      </c>
      <c r="BE18" t="str">
        <f ca="1">IF(AND(ISNUMBER($BE$69),$B$53=1),$BE$69,HLOOKUP(INDIRECT(ADDRESS(2,COLUMN())),OFFSET($BM$2,0,0,ROW()-1,59),ROW()-1,FALSE))</f>
        <v/>
      </c>
      <c r="BF18" t="str">
        <f ca="1">IF(AND(ISNUMBER($BF$69),$B$53=1),$BF$69,HLOOKUP(INDIRECT(ADDRESS(2,COLUMN())),OFFSET($BM$2,0,0,ROW()-1,59),ROW()-1,FALSE))</f>
        <v/>
      </c>
      <c r="BG18" t="str">
        <f ca="1">IF(AND(ISNUMBER($BG$69),$B$53=1),$BG$69,HLOOKUP(INDIRECT(ADDRESS(2,COLUMN())),OFFSET($BM$2,0,0,ROW()-1,59),ROW()-1,FALSE))</f>
        <v/>
      </c>
      <c r="BH18" t="str">
        <f ca="1">IF(AND(ISNUMBER($BH$69),$B$53=1),$BH$69,HLOOKUP(INDIRECT(ADDRESS(2,COLUMN())),OFFSET($BM$2,0,0,ROW()-1,59),ROW()-1,FALSE))</f>
        <v/>
      </c>
      <c r="BI18" t="str">
        <f ca="1">IF(AND(ISNUMBER($BI$69),$B$53=1),$BI$69,HLOOKUP(INDIRECT(ADDRESS(2,COLUMN())),OFFSET($BM$2,0,0,ROW()-1,59),ROW()-1,FALSE))</f>
        <v/>
      </c>
      <c r="BJ18" t="str">
        <f ca="1">IF(AND(ISNUMBER($BJ$69),$B$53=1),$BJ$69,HLOOKUP(INDIRECT(ADDRESS(2,COLUMN())),OFFSET($BM$2,0,0,ROW()-1,59),ROW()-1,FALSE))</f>
        <v/>
      </c>
      <c r="BK18" t="str">
        <f ca="1">IF(AND(ISNUMBER($BK$69),$B$53=1),$BK$69,HLOOKUP(INDIRECT(ADDRESS(2,COLUMN())),OFFSET($BM$2,0,0,ROW()-1,59),ROW()-1,FALSE))</f>
        <v/>
      </c>
      <c r="BL18" t="str">
        <f ca="1">IF(AND(ISNUMBER($BL$69),$B$53=1),$BL$69,HLOOKUP(INDIRECT(ADDRESS(2,COLUMN())),OFFSET($BM$2,0,0,ROW()-1,59),ROW()-1,FALSE))</f>
        <v/>
      </c>
      <c r="BM18">
        <f>30578.86607</f>
        <v>30578.86607</v>
      </c>
      <c r="BN18">
        <f>32088.24539</f>
        <v>32088.24539</v>
      </c>
      <c r="BO18">
        <f>34565.1669</f>
        <v>34565.166899999997</v>
      </c>
      <c r="BP18">
        <f>33215.23913</f>
        <v>33215.239130000002</v>
      </c>
      <c r="BQ18">
        <f>27879.40665</f>
        <v>27879.406650000001</v>
      </c>
      <c r="BR18">
        <f>29598.70672</f>
        <v>29598.706719999998</v>
      </c>
      <c r="BS18">
        <f>30746.4883</f>
        <v>30746.488300000001</v>
      </c>
      <c r="BT18">
        <f>29525.85022</f>
        <v>29525.85022</v>
      </c>
      <c r="BU18">
        <f>32036.31388</f>
        <v>32036.313880000002</v>
      </c>
      <c r="BV18">
        <f>29954.146</f>
        <v>29954.146000000001</v>
      </c>
      <c r="BW18">
        <f>31506.81064</f>
        <v>31506.81064</v>
      </c>
      <c r="BX18">
        <f>29318.50912</f>
        <v>29318.509119999999</v>
      </c>
      <c r="BY18">
        <f>32213.02733</f>
        <v>32213.027330000001</v>
      </c>
      <c r="BZ18">
        <f>29798.52943</f>
        <v>29798.529429999999</v>
      </c>
      <c r="CA18">
        <f>31589.38045</f>
        <v>31589.380450000001</v>
      </c>
      <c r="CB18">
        <f>29111.62668</f>
        <v>29111.626680000001</v>
      </c>
      <c r="CC18">
        <f>30761.16443</f>
        <v>30761.164430000001</v>
      </c>
      <c r="CD18">
        <f>31214.65351</f>
        <v>31214.65351</v>
      </c>
      <c r="CE18">
        <f>31993.07614</f>
        <v>31993.076140000001</v>
      </c>
      <c r="CF18">
        <f>30320.0274</f>
        <v>30320.027399999999</v>
      </c>
      <c r="CG18">
        <f>32599.10191</f>
        <v>32599.101910000001</v>
      </c>
      <c r="CH18">
        <f>27411.34615</f>
        <v>27411.346150000001</v>
      </c>
      <c r="CI18" t="str">
        <f>""</f>
        <v/>
      </c>
      <c r="CJ18" t="str">
        <f>""</f>
        <v/>
      </c>
      <c r="CK18" t="str">
        <f>""</f>
        <v/>
      </c>
      <c r="CL18" t="str">
        <f>""</f>
        <v/>
      </c>
      <c r="CM18" t="str">
        <f>""</f>
        <v/>
      </c>
      <c r="CN18" t="str">
        <f>""</f>
        <v/>
      </c>
      <c r="CO18" t="str">
        <f>""</f>
        <v/>
      </c>
      <c r="CP18" t="str">
        <f>""</f>
        <v/>
      </c>
      <c r="CQ18" t="str">
        <f>""</f>
        <v/>
      </c>
      <c r="CR18" t="str">
        <f>""</f>
        <v/>
      </c>
      <c r="CS18" t="str">
        <f>""</f>
        <v/>
      </c>
      <c r="CT18" t="str">
        <f>""</f>
        <v/>
      </c>
      <c r="CU18" t="str">
        <f>""</f>
        <v/>
      </c>
      <c r="CV18" t="str">
        <f>""</f>
        <v/>
      </c>
      <c r="CW18" t="str">
        <f>""</f>
        <v/>
      </c>
      <c r="CX18" t="str">
        <f>""</f>
        <v/>
      </c>
      <c r="CY18" t="str">
        <f>""</f>
        <v/>
      </c>
      <c r="CZ18" t="str">
        <f>""</f>
        <v/>
      </c>
      <c r="DA18" t="str">
        <f>""</f>
        <v/>
      </c>
      <c r="DB18" t="str">
        <f>""</f>
        <v/>
      </c>
      <c r="DC18" t="str">
        <f>""</f>
        <v/>
      </c>
      <c r="DD18" t="str">
        <f>""</f>
        <v/>
      </c>
      <c r="DE18" t="str">
        <f>""</f>
        <v/>
      </c>
      <c r="DF18" t="str">
        <f>""</f>
        <v/>
      </c>
      <c r="DG18" t="str">
        <f>""</f>
        <v/>
      </c>
      <c r="DH18" t="str">
        <f>""</f>
        <v/>
      </c>
      <c r="DI18" t="str">
        <f>""</f>
        <v/>
      </c>
      <c r="DJ18" t="str">
        <f>""</f>
        <v/>
      </c>
      <c r="DK18" t="str">
        <f>""</f>
        <v/>
      </c>
      <c r="DL18" t="str">
        <f>""</f>
        <v/>
      </c>
      <c r="DM18" t="str">
        <f>""</f>
        <v/>
      </c>
      <c r="DN18" t="str">
        <f>""</f>
        <v/>
      </c>
      <c r="DO18" t="str">
        <f>""</f>
        <v/>
      </c>
      <c r="DP18" t="str">
        <f>""</f>
        <v/>
      </c>
      <c r="DQ18" t="str">
        <f>""</f>
        <v/>
      </c>
      <c r="DR18" t="str">
        <f>""</f>
        <v/>
      </c>
      <c r="DS18" t="str">
        <f>""</f>
        <v/>
      </c>
    </row>
    <row r="19" spans="1:123" x14ac:dyDescent="0.25">
      <c r="A19" t="str">
        <f>"            Mass Market Brands - NAFTA"</f>
        <v xml:space="preserve">            Mass Market Brands - NAFTA</v>
      </c>
      <c r="B19" t="str">
        <f>"FCAU US Equity"</f>
        <v>FCAU US Equity</v>
      </c>
      <c r="C19" t="str">
        <f>"BI047"</f>
        <v>BI047</v>
      </c>
      <c r="D19" t="str">
        <f>"BICS_SEGMENT_DATA"</f>
        <v>BICS_SEGMENT_DATA</v>
      </c>
      <c r="E19" t="str">
        <f t="shared" si="1"/>
        <v>Dynamic</v>
      </c>
      <c r="F19">
        <f ca="1">IF(AND(ISNUMBER($F$70),$B$53=1),$F$70,HLOOKUP(INDIRECT(ADDRESS(2,COLUMN())),OFFSET($BM$2,0,0,ROW()-1,59),ROW()-1,FALSE))</f>
        <v>22090.315259999999</v>
      </c>
      <c r="G19">
        <f ca="1">IF(AND(ISNUMBER($G$70),$B$53=1),$G$70,HLOOKUP(INDIRECT(ADDRESS(2,COLUMN())),OFFSET($BM$2,0,0,ROW()-1,59),ROW()-1,FALSE))</f>
        <v>22179.42685</v>
      </c>
      <c r="H19">
        <f ca="1">IF(AND(ISNUMBER($H$70),$B$53=1),$H$70,HLOOKUP(INDIRECT(ADDRESS(2,COLUMN())),OFFSET($BM$2,0,0,ROW()-1,59),ROW()-1,FALSE))</f>
        <v>20909.821759999999</v>
      </c>
      <c r="I19">
        <f ca="1">IF(AND(ISNUMBER($I$70),$B$53=1),$I$70,HLOOKUP(INDIRECT(ADDRESS(2,COLUMN())),OFFSET($BM$2,0,0,ROW()-1,59),ROW()-1,FALSE))</f>
        <v>20171.003809999998</v>
      </c>
      <c r="J19">
        <f ca="1">IF(AND(ISNUMBER($J$70),$B$53=1),$J$70,HLOOKUP(INDIRECT(ADDRESS(2,COLUMN())),OFFSET($BM$2,0,0,ROW()-1,59),ROW()-1,FALSE))</f>
        <v>19770.682639999999</v>
      </c>
      <c r="K19">
        <f ca="1">IF(AND(ISNUMBER($K$70),$B$53=1),$K$70,HLOOKUP(INDIRECT(ADDRESS(2,COLUMN())),OFFSET($BM$2,0,0,ROW()-1,59),ROW()-1,FALSE))</f>
        <v>18946.838070000002</v>
      </c>
      <c r="L19">
        <f ca="1">IF(AND(ISNUMBER($L$70),$B$53=1),$L$70,HLOOKUP(INDIRECT(ADDRESS(2,COLUMN())),OFFSET($BM$2,0,0,ROW()-1,59),ROW()-1,FALSE))</f>
        <v>17705.793310000001</v>
      </c>
      <c r="M19">
        <f ca="1">IF(AND(ISNUMBER($M$70),$B$53=1),$M$70,HLOOKUP(INDIRECT(ADDRESS(2,COLUMN())),OFFSET($BM$2,0,0,ROW()-1,59),ROW()-1,FALSE))</f>
        <v>18214.655610000002</v>
      </c>
      <c r="N19">
        <f ca="1">IF(AND(ISNUMBER($N$70),$B$53=1),$N$70,HLOOKUP(INDIRECT(ADDRESS(2,COLUMN())),OFFSET($BM$2,0,0,ROW()-1,59),ROW()-1,FALSE))</f>
        <v>19046.725320000001</v>
      </c>
      <c r="O19">
        <f ca="1">IF(AND(ISNUMBER($O$70),$B$53=1),$O$70,HLOOKUP(INDIRECT(ADDRESS(2,COLUMN())),OFFSET($BM$2,0,0,ROW()-1,59),ROW()-1,FALSE))</f>
        <v>18763.198469999999</v>
      </c>
      <c r="P19">
        <f ca="1">IF(AND(ISNUMBER($P$70),$B$53=1),$P$70,HLOOKUP(INDIRECT(ADDRESS(2,COLUMN())),OFFSET($BM$2,0,0,ROW()-1,59),ROW()-1,FALSE))</f>
        <v>19743.575209999999</v>
      </c>
      <c r="Q19">
        <f ca="1">IF(AND(ISNUMBER($Q$70),$B$53=1),$Q$70,HLOOKUP(INDIRECT(ADDRESS(2,COLUMN())),OFFSET($BM$2,0,0,ROW()-1,59),ROW()-1,FALSE))</f>
        <v>18908.617699999999</v>
      </c>
      <c r="R19">
        <f ca="1">IF(AND(ISNUMBER($R$70),$B$53=1),$R$70,HLOOKUP(INDIRECT(ADDRESS(2,COLUMN())),OFFSET($BM$2,0,0,ROW()-1,59),ROW()-1,FALSE))</f>
        <v>20725.897270000001</v>
      </c>
      <c r="S19">
        <f ca="1">IF(AND(ISNUMBER($S$70),$B$53=1),$S$70,HLOOKUP(INDIRECT(ADDRESS(2,COLUMN())),OFFSET($BM$2,0,0,ROW()-1,59),ROW()-1,FALSE))</f>
        <v>19686.288710000001</v>
      </c>
      <c r="T19">
        <f ca="1">IF(AND(ISNUMBER($T$70),$B$53=1),$T$70,HLOOKUP(INDIRECT(ADDRESS(2,COLUMN())),OFFSET($BM$2,0,0,ROW()-1,59),ROW()-1,FALSE))</f>
        <v>19022.252710000001</v>
      </c>
      <c r="U19">
        <f ca="1">IF(AND(ISNUMBER($U$70),$B$53=1),$U$70,HLOOKUP(INDIRECT(ADDRESS(2,COLUMN())),OFFSET($BM$2,0,0,ROW()-1,59),ROW()-1,FALSE))</f>
        <v>18223.069490000002</v>
      </c>
      <c r="V19">
        <f ca="1">IF(AND(ISNUMBER($V$70),$B$53=1),$V$70,HLOOKUP(INDIRECT(ADDRESS(2,COLUMN())),OFFSET($BM$2,0,0,ROW()-1,59),ROW()-1,FALSE))</f>
        <v>19140.502090000002</v>
      </c>
      <c r="W19">
        <f ca="1">IF(AND(ISNUMBER($W$70),$B$53=1),$W$70,HLOOKUP(INDIRECT(ADDRESS(2,COLUMN())),OFFSET($BM$2,0,0,ROW()-1,59),ROW()-1,FALSE))</f>
        <v>17406.41358</v>
      </c>
      <c r="X19">
        <f ca="1">IF(AND(ISNUMBER($X$70),$B$53=1),$X$70,HLOOKUP(INDIRECT(ADDRESS(2,COLUMN())),OFFSET($BM$2,0,0,ROW()-1,59),ROW()-1,FALSE))</f>
        <v>16811.176579999999</v>
      </c>
      <c r="Y19" t="str">
        <f ca="1">IF(AND(ISNUMBER($Y$70),$B$53=1),$Y$70,HLOOKUP(INDIRECT(ADDRESS(2,COLUMN())),OFFSET($BM$2,0,0,ROW()-1,59),ROW()-1,FALSE))</f>
        <v/>
      </c>
      <c r="Z19" t="str">
        <f ca="1">IF(AND(ISNUMBER($Z$70),$B$53=1),$Z$70,HLOOKUP(INDIRECT(ADDRESS(2,COLUMN())),OFFSET($BM$2,0,0,ROW()-1,59),ROW()-1,FALSE))</f>
        <v/>
      </c>
      <c r="AA19" t="str">
        <f ca="1">IF(AND(ISNUMBER($AA$70),$B$53=1),$AA$70,HLOOKUP(INDIRECT(ADDRESS(2,COLUMN())),OFFSET($BM$2,0,0,ROW()-1,59),ROW()-1,FALSE))</f>
        <v/>
      </c>
      <c r="AB19" t="str">
        <f ca="1">IF(AND(ISNUMBER($AB$70),$B$53=1),$AB$70,HLOOKUP(INDIRECT(ADDRESS(2,COLUMN())),OFFSET($BM$2,0,0,ROW()-1,59),ROW()-1,FALSE))</f>
        <v/>
      </c>
      <c r="AC19" t="str">
        <f ca="1">IF(AND(ISNUMBER($AC$70),$B$53=1),$AC$70,HLOOKUP(INDIRECT(ADDRESS(2,COLUMN())),OFFSET($BM$2,0,0,ROW()-1,59),ROW()-1,FALSE))</f>
        <v/>
      </c>
      <c r="AD19" t="str">
        <f ca="1">IF(AND(ISNUMBER($AD$70),$B$53=1),$AD$70,HLOOKUP(INDIRECT(ADDRESS(2,COLUMN())),OFFSET($BM$2,0,0,ROW()-1,59),ROW()-1,FALSE))</f>
        <v/>
      </c>
      <c r="AE19" t="str">
        <f ca="1">IF(AND(ISNUMBER($AE$70),$B$53=1),$AE$70,HLOOKUP(INDIRECT(ADDRESS(2,COLUMN())),OFFSET($BM$2,0,0,ROW()-1,59),ROW()-1,FALSE))</f>
        <v/>
      </c>
      <c r="AF19" t="str">
        <f ca="1">IF(AND(ISNUMBER($AF$70),$B$53=1),$AF$70,HLOOKUP(INDIRECT(ADDRESS(2,COLUMN())),OFFSET($BM$2,0,0,ROW()-1,59),ROW()-1,FALSE))</f>
        <v/>
      </c>
      <c r="AG19" t="str">
        <f ca="1">IF(AND(ISNUMBER($AG$70),$B$53=1),$AG$70,HLOOKUP(INDIRECT(ADDRESS(2,COLUMN())),OFFSET($BM$2,0,0,ROW()-1,59),ROW()-1,FALSE))</f>
        <v/>
      </c>
      <c r="AH19" t="str">
        <f ca="1">IF(AND(ISNUMBER($AH$70),$B$53=1),$AH$70,HLOOKUP(INDIRECT(ADDRESS(2,COLUMN())),OFFSET($BM$2,0,0,ROW()-1,59),ROW()-1,FALSE))</f>
        <v/>
      </c>
      <c r="AI19" t="str">
        <f ca="1">IF(AND(ISNUMBER($AI$70),$B$53=1),$AI$70,HLOOKUP(INDIRECT(ADDRESS(2,COLUMN())),OFFSET($BM$2,0,0,ROW()-1,59),ROW()-1,FALSE))</f>
        <v/>
      </c>
      <c r="AJ19" t="str">
        <f ca="1">IF(AND(ISNUMBER($AJ$70),$B$53=1),$AJ$70,HLOOKUP(INDIRECT(ADDRESS(2,COLUMN())),OFFSET($BM$2,0,0,ROW()-1,59),ROW()-1,FALSE))</f>
        <v/>
      </c>
      <c r="AK19" t="str">
        <f ca="1">IF(AND(ISNUMBER($AK$70),$B$53=1),$AK$70,HLOOKUP(INDIRECT(ADDRESS(2,COLUMN())),OFFSET($BM$2,0,0,ROW()-1,59),ROW()-1,FALSE))</f>
        <v/>
      </c>
      <c r="AL19" t="str">
        <f ca="1">IF(AND(ISNUMBER($AL$70),$B$53=1),$AL$70,HLOOKUP(INDIRECT(ADDRESS(2,COLUMN())),OFFSET($BM$2,0,0,ROW()-1,59),ROW()-1,FALSE))</f>
        <v/>
      </c>
      <c r="AM19" t="str">
        <f ca="1">IF(AND(ISNUMBER($AM$70),$B$53=1),$AM$70,HLOOKUP(INDIRECT(ADDRESS(2,COLUMN())),OFFSET($BM$2,0,0,ROW()-1,59),ROW()-1,FALSE))</f>
        <v/>
      </c>
      <c r="AN19" t="str">
        <f ca="1">IF(AND(ISNUMBER($AN$70),$B$53=1),$AN$70,HLOOKUP(INDIRECT(ADDRESS(2,COLUMN())),OFFSET($BM$2,0,0,ROW()-1,59),ROW()-1,FALSE))</f>
        <v/>
      </c>
      <c r="AO19" t="str">
        <f ca="1">IF(AND(ISNUMBER($AO$70),$B$53=1),$AO$70,HLOOKUP(INDIRECT(ADDRESS(2,COLUMN())),OFFSET($BM$2,0,0,ROW()-1,59),ROW()-1,FALSE))</f>
        <v/>
      </c>
      <c r="AP19" t="str">
        <f ca="1">IF(AND(ISNUMBER($AP$70),$B$53=1),$AP$70,HLOOKUP(INDIRECT(ADDRESS(2,COLUMN())),OFFSET($BM$2,0,0,ROW()-1,59),ROW()-1,FALSE))</f>
        <v/>
      </c>
      <c r="AQ19" t="str">
        <f ca="1">IF(AND(ISNUMBER($AQ$70),$B$53=1),$AQ$70,HLOOKUP(INDIRECT(ADDRESS(2,COLUMN())),OFFSET($BM$2,0,0,ROW()-1,59),ROW()-1,FALSE))</f>
        <v/>
      </c>
      <c r="AR19" t="str">
        <f ca="1">IF(AND(ISNUMBER($AR$70),$B$53=1),$AR$70,HLOOKUP(INDIRECT(ADDRESS(2,COLUMN())),OFFSET($BM$2,0,0,ROW()-1,59),ROW()-1,FALSE))</f>
        <v/>
      </c>
      <c r="AS19" t="str">
        <f ca="1">IF(AND(ISNUMBER($AS$70),$B$53=1),$AS$70,HLOOKUP(INDIRECT(ADDRESS(2,COLUMN())),OFFSET($BM$2,0,0,ROW()-1,59),ROW()-1,FALSE))</f>
        <v/>
      </c>
      <c r="AT19" t="str">
        <f ca="1">IF(AND(ISNUMBER($AT$70),$B$53=1),$AT$70,HLOOKUP(INDIRECT(ADDRESS(2,COLUMN())),OFFSET($BM$2,0,0,ROW()-1,59),ROW()-1,FALSE))</f>
        <v/>
      </c>
      <c r="AU19" t="str">
        <f ca="1">IF(AND(ISNUMBER($AU$70),$B$53=1),$AU$70,HLOOKUP(INDIRECT(ADDRESS(2,COLUMN())),OFFSET($BM$2,0,0,ROW()-1,59),ROW()-1,FALSE))</f>
        <v/>
      </c>
      <c r="AV19" t="str">
        <f ca="1">IF(AND(ISNUMBER($AV$70),$B$53=1),$AV$70,HLOOKUP(INDIRECT(ADDRESS(2,COLUMN())),OFFSET($BM$2,0,0,ROW()-1,59),ROW()-1,FALSE))</f>
        <v/>
      </c>
      <c r="AW19" t="str">
        <f ca="1">IF(AND(ISNUMBER($AW$70),$B$53=1),$AW$70,HLOOKUP(INDIRECT(ADDRESS(2,COLUMN())),OFFSET($BM$2,0,0,ROW()-1,59),ROW()-1,FALSE))</f>
        <v/>
      </c>
      <c r="AX19" t="str">
        <f ca="1">IF(AND(ISNUMBER($AX$70),$B$53=1),$AX$70,HLOOKUP(INDIRECT(ADDRESS(2,COLUMN())),OFFSET($BM$2,0,0,ROW()-1,59),ROW()-1,FALSE))</f>
        <v/>
      </c>
      <c r="AY19" t="str">
        <f ca="1">IF(AND(ISNUMBER($AY$70),$B$53=1),$AY$70,HLOOKUP(INDIRECT(ADDRESS(2,COLUMN())),OFFSET($BM$2,0,0,ROW()-1,59),ROW()-1,FALSE))</f>
        <v/>
      </c>
      <c r="AZ19" t="str">
        <f ca="1">IF(AND(ISNUMBER($AZ$70),$B$53=1),$AZ$70,HLOOKUP(INDIRECT(ADDRESS(2,COLUMN())),OFFSET($BM$2,0,0,ROW()-1,59),ROW()-1,FALSE))</f>
        <v/>
      </c>
      <c r="BA19" t="str">
        <f ca="1">IF(AND(ISNUMBER($BA$70),$B$53=1),$BA$70,HLOOKUP(INDIRECT(ADDRESS(2,COLUMN())),OFFSET($BM$2,0,0,ROW()-1,59),ROW()-1,FALSE))</f>
        <v/>
      </c>
      <c r="BB19" t="str">
        <f ca="1">IF(AND(ISNUMBER($BB$70),$B$53=1),$BB$70,HLOOKUP(INDIRECT(ADDRESS(2,COLUMN())),OFFSET($BM$2,0,0,ROW()-1,59),ROW()-1,FALSE))</f>
        <v/>
      </c>
      <c r="BC19" t="str">
        <f ca="1">IF(AND(ISNUMBER($BC$70),$B$53=1),$BC$70,HLOOKUP(INDIRECT(ADDRESS(2,COLUMN())),OFFSET($BM$2,0,0,ROW()-1,59),ROW()-1,FALSE))</f>
        <v/>
      </c>
      <c r="BD19" t="str">
        <f ca="1">IF(AND(ISNUMBER($BD$70),$B$53=1),$BD$70,HLOOKUP(INDIRECT(ADDRESS(2,COLUMN())),OFFSET($BM$2,0,0,ROW()-1,59),ROW()-1,FALSE))</f>
        <v/>
      </c>
      <c r="BE19" t="str">
        <f ca="1">IF(AND(ISNUMBER($BE$70),$B$53=1),$BE$70,HLOOKUP(INDIRECT(ADDRESS(2,COLUMN())),OFFSET($BM$2,0,0,ROW()-1,59),ROW()-1,FALSE))</f>
        <v/>
      </c>
      <c r="BF19" t="str">
        <f ca="1">IF(AND(ISNUMBER($BF$70),$B$53=1),$BF$70,HLOOKUP(INDIRECT(ADDRESS(2,COLUMN())),OFFSET($BM$2,0,0,ROW()-1,59),ROW()-1,FALSE))</f>
        <v/>
      </c>
      <c r="BG19" t="str">
        <f ca="1">IF(AND(ISNUMBER($BG$70),$B$53=1),$BG$70,HLOOKUP(INDIRECT(ADDRESS(2,COLUMN())),OFFSET($BM$2,0,0,ROW()-1,59),ROW()-1,FALSE))</f>
        <v/>
      </c>
      <c r="BH19" t="str">
        <f ca="1">IF(AND(ISNUMBER($BH$70),$B$53=1),$BH$70,HLOOKUP(INDIRECT(ADDRESS(2,COLUMN())),OFFSET($BM$2,0,0,ROW()-1,59),ROW()-1,FALSE))</f>
        <v/>
      </c>
      <c r="BI19" t="str">
        <f ca="1">IF(AND(ISNUMBER($BI$70),$B$53=1),$BI$70,HLOOKUP(INDIRECT(ADDRESS(2,COLUMN())),OFFSET($BM$2,0,0,ROW()-1,59),ROW()-1,FALSE))</f>
        <v/>
      </c>
      <c r="BJ19" t="str">
        <f ca="1">IF(AND(ISNUMBER($BJ$70),$B$53=1),$BJ$70,HLOOKUP(INDIRECT(ADDRESS(2,COLUMN())),OFFSET($BM$2,0,0,ROW()-1,59),ROW()-1,FALSE))</f>
        <v/>
      </c>
      <c r="BK19" t="str">
        <f ca="1">IF(AND(ISNUMBER($BK$70),$B$53=1),$BK$70,HLOOKUP(INDIRECT(ADDRESS(2,COLUMN())),OFFSET($BM$2,0,0,ROW()-1,59),ROW()-1,FALSE))</f>
        <v/>
      </c>
      <c r="BL19" t="str">
        <f ca="1">IF(AND(ISNUMBER($BL$70),$B$53=1),$BL$70,HLOOKUP(INDIRECT(ADDRESS(2,COLUMN())),OFFSET($BM$2,0,0,ROW()-1,59),ROW()-1,FALSE))</f>
        <v/>
      </c>
      <c r="BM19">
        <f>22090.31526</f>
        <v>22090.315259999999</v>
      </c>
      <c r="BN19">
        <f>22179.42685</f>
        <v>22179.42685</v>
      </c>
      <c r="BO19">
        <f>20909.82176</f>
        <v>20909.821759999999</v>
      </c>
      <c r="BP19">
        <f>20171.00381</f>
        <v>20171.003809999998</v>
      </c>
      <c r="BQ19">
        <f>19770.68264</f>
        <v>19770.682639999999</v>
      </c>
      <c r="BR19">
        <f>18946.83807</f>
        <v>18946.838070000002</v>
      </c>
      <c r="BS19">
        <f>17705.79331</f>
        <v>17705.793310000001</v>
      </c>
      <c r="BT19">
        <f>18214.65561</f>
        <v>18214.655610000002</v>
      </c>
      <c r="BU19">
        <f>19046.72532</f>
        <v>19046.725320000001</v>
      </c>
      <c r="BV19">
        <f>18763.19847</f>
        <v>18763.198469999999</v>
      </c>
      <c r="BW19">
        <f>19743.57521</f>
        <v>19743.575209999999</v>
      </c>
      <c r="BX19">
        <f>18908.6177</f>
        <v>18908.617699999999</v>
      </c>
      <c r="BY19">
        <f>20725.89727</f>
        <v>20725.897270000001</v>
      </c>
      <c r="BZ19">
        <f>19686.28871</f>
        <v>19686.288710000001</v>
      </c>
      <c r="CA19">
        <f>19022.25271</f>
        <v>19022.252710000001</v>
      </c>
      <c r="CB19">
        <f>18223.06949</f>
        <v>18223.069490000002</v>
      </c>
      <c r="CC19">
        <f>19140.50209</f>
        <v>19140.502090000002</v>
      </c>
      <c r="CD19">
        <f>17406.41358</f>
        <v>17406.41358</v>
      </c>
      <c r="CE19">
        <f>16811.17658</f>
        <v>16811.176579999999</v>
      </c>
      <c r="CF19" t="str">
        <f>""</f>
        <v/>
      </c>
      <c r="CG19" t="str">
        <f>""</f>
        <v/>
      </c>
      <c r="CH19" t="str">
        <f>""</f>
        <v/>
      </c>
      <c r="CI19" t="str">
        <f>""</f>
        <v/>
      </c>
      <c r="CJ19" t="str">
        <f>""</f>
        <v/>
      </c>
      <c r="CK19" t="str">
        <f>""</f>
        <v/>
      </c>
      <c r="CL19" t="str">
        <f>""</f>
        <v/>
      </c>
      <c r="CM19" t="str">
        <f>""</f>
        <v/>
      </c>
      <c r="CN19" t="str">
        <f>""</f>
        <v/>
      </c>
      <c r="CO19" t="str">
        <f>""</f>
        <v/>
      </c>
      <c r="CP19" t="str">
        <f>""</f>
        <v/>
      </c>
      <c r="CQ19" t="str">
        <f>""</f>
        <v/>
      </c>
      <c r="CR19" t="str">
        <f>""</f>
        <v/>
      </c>
      <c r="CS19" t="str">
        <f>""</f>
        <v/>
      </c>
      <c r="CT19" t="str">
        <f>""</f>
        <v/>
      </c>
      <c r="CU19" t="str">
        <f>""</f>
        <v/>
      </c>
      <c r="CV19" t="str">
        <f>""</f>
        <v/>
      </c>
      <c r="CW19" t="str">
        <f>""</f>
        <v/>
      </c>
      <c r="CX19" t="str">
        <f>""</f>
        <v/>
      </c>
      <c r="CY19" t="str">
        <f>""</f>
        <v/>
      </c>
      <c r="CZ19" t="str">
        <f>""</f>
        <v/>
      </c>
      <c r="DA19" t="str">
        <f>""</f>
        <v/>
      </c>
      <c r="DB19" t="str">
        <f>""</f>
        <v/>
      </c>
      <c r="DC19" t="str">
        <f>""</f>
        <v/>
      </c>
      <c r="DD19" t="str">
        <f>""</f>
        <v/>
      </c>
      <c r="DE19" t="str">
        <f>""</f>
        <v/>
      </c>
      <c r="DF19" t="str">
        <f>""</f>
        <v/>
      </c>
      <c r="DG19" t="str">
        <f>""</f>
        <v/>
      </c>
      <c r="DH19" t="str">
        <f>""</f>
        <v/>
      </c>
      <c r="DI19" t="str">
        <f>""</f>
        <v/>
      </c>
      <c r="DJ19" t="str">
        <f>""</f>
        <v/>
      </c>
      <c r="DK19" t="str">
        <f>""</f>
        <v/>
      </c>
      <c r="DL19" t="str">
        <f>""</f>
        <v/>
      </c>
      <c r="DM19" t="str">
        <f>""</f>
        <v/>
      </c>
      <c r="DN19" t="str">
        <f>""</f>
        <v/>
      </c>
      <c r="DO19" t="str">
        <f>""</f>
        <v/>
      </c>
      <c r="DP19" t="str">
        <f>""</f>
        <v/>
      </c>
      <c r="DQ19" t="str">
        <f>""</f>
        <v/>
      </c>
      <c r="DR19" t="str">
        <f>""</f>
        <v/>
      </c>
      <c r="DS19" t="str">
        <f>""</f>
        <v/>
      </c>
    </row>
    <row r="20" spans="1:123" x14ac:dyDescent="0.25">
      <c r="A20" t="str">
        <f>"        F IM"</f>
        <v xml:space="preserve">        F IM</v>
      </c>
      <c r="B20" t="str">
        <f>"F IM Equity"</f>
        <v>F IM Equity</v>
      </c>
      <c r="C20" t="str">
        <f>"IS010"</f>
        <v>IS010</v>
      </c>
      <c r="D20" t="str">
        <f>"SALES_REV_TURN"</f>
        <v>SALES_REV_TURN</v>
      </c>
      <c r="E20" t="str">
        <f t="shared" si="1"/>
        <v>Dynamic</v>
      </c>
      <c r="F20">
        <f ca="1">IF(AND(ISNUMBER($F$71),$B$53=1),$F$71,HLOOKUP(INDIRECT(ADDRESS(2,COLUMN())),OFFSET($BM$2,0,0,ROW()-1,59),ROW()-1,FALSE))</f>
        <v>34938.961869999999</v>
      </c>
      <c r="G20">
        <f ca="1">IF(AND(ISNUMBER($G$71),$B$53=1),$G$71,HLOOKUP(INDIRECT(ADDRESS(2,COLUMN())),OFFSET($BM$2,0,0,ROW()-1,59),ROW()-1,FALSE))</f>
        <v>33456.94384</v>
      </c>
      <c r="H20">
        <f ca="1">IF(AND(ISNUMBER($H$71),$B$53=1),$H$71,HLOOKUP(INDIRECT(ADDRESS(2,COLUMN())),OFFSET($BM$2,0,0,ROW()-1,59),ROW()-1,FALSE))</f>
        <v>34565.166899999997</v>
      </c>
      <c r="I20">
        <f ca="1">IF(AND(ISNUMBER($I$71),$B$53=1),$I$71,HLOOKUP(INDIRECT(ADDRESS(2,COLUMN())),OFFSET($BM$2,0,0,ROW()-1,59),ROW()-1,FALSE))</f>
        <v>33215.239130000002</v>
      </c>
      <c r="J20">
        <f ca="1">IF(AND(ISNUMBER($J$71),$B$53=1),$J$71,HLOOKUP(INDIRECT(ADDRESS(2,COLUMN())),OFFSET($BM$2,0,0,ROW()-1,59),ROW()-1,FALSE))</f>
        <v>34008.353600000002</v>
      </c>
      <c r="K20">
        <f ca="1">IF(AND(ISNUMBER($K$71),$B$53=1),$K$71,HLOOKUP(INDIRECT(ADDRESS(2,COLUMN())),OFFSET($BM$2,0,0,ROW()-1,59),ROW()-1,FALSE))</f>
        <v>31.034464889999999</v>
      </c>
      <c r="L20" t="str">
        <f ca="1">IF(AND(ISNUMBER($L$71),$B$53=1),$L$71,HLOOKUP(INDIRECT(ADDRESS(2,COLUMN())),OFFSET($BM$2,0,0,ROW()-1,59),ROW()-1,FALSE))</f>
        <v/>
      </c>
      <c r="M20" t="str">
        <f ca="1">IF(AND(ISNUMBER($M$71),$B$53=1),$M$71,HLOOKUP(INDIRECT(ADDRESS(2,COLUMN())),OFFSET($BM$2,0,0,ROW()-1,59),ROW()-1,FALSE))</f>
        <v/>
      </c>
      <c r="N20" t="str">
        <f ca="1">IF(AND(ISNUMBER($N$71),$B$53=1),$N$71,HLOOKUP(INDIRECT(ADDRESS(2,COLUMN())),OFFSET($BM$2,0,0,ROW()-1,59),ROW()-1,FALSE))</f>
        <v/>
      </c>
      <c r="O20" t="str">
        <f ca="1">IF(AND(ISNUMBER($O$71),$B$53=1),$O$71,HLOOKUP(INDIRECT(ADDRESS(2,COLUMN())),OFFSET($BM$2,0,0,ROW()-1,59),ROW()-1,FALSE))</f>
        <v/>
      </c>
      <c r="P20" t="str">
        <f ca="1">IF(AND(ISNUMBER($P$71),$B$53=1),$P$71,HLOOKUP(INDIRECT(ADDRESS(2,COLUMN())),OFFSET($BM$2,0,0,ROW()-1,59),ROW()-1,FALSE))</f>
        <v/>
      </c>
      <c r="Q20" t="str">
        <f ca="1">IF(AND(ISNUMBER($Q$71),$B$53=1),$Q$71,HLOOKUP(INDIRECT(ADDRESS(2,COLUMN())),OFFSET($BM$2,0,0,ROW()-1,59),ROW()-1,FALSE))</f>
        <v/>
      </c>
      <c r="R20" t="str">
        <f ca="1">IF(AND(ISNUMBER($R$71),$B$53=1),$R$71,HLOOKUP(INDIRECT(ADDRESS(2,COLUMN())),OFFSET($BM$2,0,0,ROW()-1,59),ROW()-1,FALSE))</f>
        <v/>
      </c>
      <c r="S20" t="str">
        <f ca="1">IF(AND(ISNUMBER($S$71),$B$53=1),$S$71,HLOOKUP(INDIRECT(ADDRESS(2,COLUMN())),OFFSET($BM$2,0,0,ROW()-1,59),ROW()-1,FALSE))</f>
        <v/>
      </c>
      <c r="T20" t="str">
        <f ca="1">IF(AND(ISNUMBER($T$71),$B$53=1),$T$71,HLOOKUP(INDIRECT(ADDRESS(2,COLUMN())),OFFSET($BM$2,0,0,ROW()-1,59),ROW()-1,FALSE))</f>
        <v/>
      </c>
      <c r="U20" t="str">
        <f ca="1">IF(AND(ISNUMBER($U$71),$B$53=1),$U$71,HLOOKUP(INDIRECT(ADDRESS(2,COLUMN())),OFFSET($BM$2,0,0,ROW()-1,59),ROW()-1,FALSE))</f>
        <v/>
      </c>
      <c r="V20" t="str">
        <f ca="1">IF(AND(ISNUMBER($V$71),$B$53=1),$V$71,HLOOKUP(INDIRECT(ADDRESS(2,COLUMN())),OFFSET($BM$2,0,0,ROW()-1,59),ROW()-1,FALSE))</f>
        <v/>
      </c>
      <c r="W20" t="str">
        <f ca="1">IF(AND(ISNUMBER($W$71),$B$53=1),$W$71,HLOOKUP(INDIRECT(ADDRESS(2,COLUMN())),OFFSET($BM$2,0,0,ROW()-1,59),ROW()-1,FALSE))</f>
        <v/>
      </c>
      <c r="X20">
        <f ca="1">IF(AND(ISNUMBER($X$71),$B$53=1),$X$71,HLOOKUP(INDIRECT(ADDRESS(2,COLUMN())),OFFSET($BM$2,0,0,ROW()-1,59),ROW()-1,FALSE))</f>
        <v>31993.076140000001</v>
      </c>
      <c r="Y20">
        <f ca="1">IF(AND(ISNUMBER($Y$71),$B$53=1),$Y$71,HLOOKUP(INDIRECT(ADDRESS(2,COLUMN())),OFFSET($BM$2,0,0,ROW()-1,59),ROW()-1,FALSE))</f>
        <v>30320.027399999999</v>
      </c>
      <c r="Z20">
        <f ca="1">IF(AND(ISNUMBER($Z$71),$B$53=1),$Z$71,HLOOKUP(INDIRECT(ADDRESS(2,COLUMN())),OFFSET($BM$2,0,0,ROW()-1,59),ROW()-1,FALSE))</f>
        <v>32678.070619999999</v>
      </c>
      <c r="AA20">
        <f ca="1">IF(AND(ISNUMBER($AA$71),$B$53=1),$AA$71,HLOOKUP(INDIRECT(ADDRESS(2,COLUMN())),OFFSET($BM$2,0,0,ROW()-1,59),ROW()-1,FALSE))</f>
        <v>27464.332849999999</v>
      </c>
      <c r="AB20">
        <f ca="1">IF(AND(ISNUMBER($AB$71),$B$53=1),$AB$71,HLOOKUP(INDIRECT(ADDRESS(2,COLUMN())),OFFSET($BM$2,0,0,ROW()-1,59),ROW()-1,FALSE))</f>
        <v>29104.02493</v>
      </c>
      <c r="AC20">
        <f ca="1">IF(AND(ISNUMBER($AC$71),$B$53=1),$AC$71,HLOOKUP(INDIRECT(ADDRESS(2,COLUMN())),OFFSET($BM$2,0,0,ROW()-1,59),ROW()-1,FALSE))</f>
        <v>26018.035879999999</v>
      </c>
      <c r="AD20">
        <f ca="1">IF(AND(ISNUMBER($AD$71),$B$53=1),$AD$71,HLOOKUP(INDIRECT(ADDRESS(2,COLUMN())),OFFSET($BM$2,0,0,ROW()-1,59),ROW()-1,FALSE))</f>
        <v>28253.430369999998</v>
      </c>
      <c r="AE20">
        <f ca="1">IF(AND(ISNUMBER($AE$71),$B$53=1),$AE$71,HLOOKUP(INDIRECT(ADDRESS(2,COLUMN())),OFFSET($BM$2,0,0,ROW()-1,59),ROW()-1,FALSE))</f>
        <v>25566.723160000001</v>
      </c>
      <c r="AF20">
        <f ca="1">IF(AND(ISNUMBER($AF$71),$B$53=1),$AF$71,HLOOKUP(INDIRECT(ADDRESS(2,COLUMN())),OFFSET($BM$2,0,0,ROW()-1,59),ROW()-1,FALSE))</f>
        <v>27619.6829</v>
      </c>
      <c r="AG20">
        <f ca="1">IF(AND(ISNUMBER($AG$71),$B$53=1),$AG$71,HLOOKUP(INDIRECT(ADDRESS(2,COLUMN())),OFFSET($BM$2,0,0,ROW()-1,59),ROW()-1,FALSE))</f>
        <v>26521.51051</v>
      </c>
      <c r="AH20">
        <f ca="1">IF(AND(ISNUMBER($AH$71),$B$53=1),$AH$71,HLOOKUP(INDIRECT(ADDRESS(2,COLUMN())),OFFSET($BM$2,0,0,ROW()-1,59),ROW()-1,FALSE))</f>
        <v>26470.296040000001</v>
      </c>
      <c r="AI20">
        <f ca="1">IF(AND(ISNUMBER($AI$71),$B$53=1),$AI$71,HLOOKUP(INDIRECT(ADDRESS(2,COLUMN())),OFFSET($BM$2,0,0,ROW()-1,59),ROW()-1,FALSE))</f>
        <v>24795.985649999999</v>
      </c>
      <c r="AJ20">
        <f ca="1">IF(AND(ISNUMBER($AJ$71),$B$53=1),$AJ$71,HLOOKUP(INDIRECT(ADDRESS(2,COLUMN())),OFFSET($BM$2,0,0,ROW()-1,59),ROW()-1,FALSE))</f>
        <v>18934.862519999999</v>
      </c>
      <c r="AK20">
        <f ca="1">IF(AND(ISNUMBER($AK$71),$B$53=1),$AK$71,HLOOKUP(INDIRECT(ADDRESS(2,COLUMN())),OFFSET($BM$2,0,0,ROW()-1,59),ROW()-1,FALSE))</f>
        <v>12609.752060000001</v>
      </c>
      <c r="AL20">
        <f ca="1">IF(AND(ISNUMBER($AL$71),$B$53=1),$AL$71,HLOOKUP(INDIRECT(ADDRESS(2,COLUMN())),OFFSET($BM$2,0,0,ROW()-1,59),ROW()-1,FALSE))</f>
        <v>12831.47739</v>
      </c>
      <c r="AM20">
        <f ca="1">IF(AND(ISNUMBER($AM$71),$B$53=1),$AM$71,HLOOKUP(INDIRECT(ADDRESS(2,COLUMN())),OFFSET($BM$2,0,0,ROW()-1,59),ROW()-1,FALSE))</f>
        <v>10915.26262</v>
      </c>
      <c r="AN20">
        <f ca="1">IF(AND(ISNUMBER($AN$71),$B$53=1),$AN$71,HLOOKUP(INDIRECT(ADDRESS(2,COLUMN())),OFFSET($BM$2,0,0,ROW()-1,59),ROW()-1,FALSE))</f>
        <v>11944.561750000001</v>
      </c>
      <c r="AO20">
        <f ca="1">IF(AND(ISNUMBER($AO$71),$B$53=1),$AO$71,HLOOKUP(INDIRECT(ADDRESS(2,COLUMN())),OFFSET($BM$2,0,0,ROW()-1,59),ROW()-1,FALSE))</f>
        <v>11905.64532</v>
      </c>
      <c r="AP20" t="str">
        <f ca="1">IF(AND(ISNUMBER($AP$71),$B$53=1),$AP$71,HLOOKUP(INDIRECT(ADDRESS(2,COLUMN())),OFFSET($BM$2,0,0,ROW()-1,59),ROW()-1,FALSE))</f>
        <v/>
      </c>
      <c r="AQ20">
        <f ca="1">IF(AND(ISNUMBER($AQ$71),$B$53=1),$AQ$71,HLOOKUP(INDIRECT(ADDRESS(2,COLUMN())),OFFSET($BM$2,0,0,ROW()-1,59),ROW()-1,FALSE))</f>
        <v>17236.550899999998</v>
      </c>
      <c r="AR20">
        <f ca="1">IF(AND(ISNUMBER($AR$71),$B$53=1),$AR$71,HLOOKUP(INDIRECT(ADDRESS(2,COLUMN())),OFFSET($BM$2,0,0,ROW()-1,59),ROW()-1,FALSE))</f>
        <v>17967.73935</v>
      </c>
      <c r="AS20">
        <f ca="1">IF(AND(ISNUMBER($AS$71),$B$53=1),$AS$71,HLOOKUP(INDIRECT(ADDRESS(2,COLUMN())),OFFSET($BM$2,0,0,ROW()-1,59),ROW()-1,FALSE))</f>
        <v>14705.461859999999</v>
      </c>
      <c r="AT20">
        <f ca="1">IF(AND(ISNUMBER($AT$71),$B$53=1),$AT$71,HLOOKUP(INDIRECT(ADDRESS(2,COLUMN())),OFFSET($BM$2,0,0,ROW()-1,59),ROW()-1,FALSE))</f>
        <v>17285.58282</v>
      </c>
      <c r="AU20">
        <f ca="1">IF(AND(ISNUMBER($AU$71),$B$53=1),$AU$71,HLOOKUP(INDIRECT(ADDRESS(2,COLUMN())),OFFSET($BM$2,0,0,ROW()-1,59),ROW()-1,FALSE))</f>
        <v>21491.967410000001</v>
      </c>
      <c r="AV20">
        <f ca="1">IF(AND(ISNUMBER($AV$71),$B$53=1),$AV$71,HLOOKUP(INDIRECT(ADDRESS(2,COLUMN())),OFFSET($BM$2,0,0,ROW()-1,59),ROW()-1,FALSE))</f>
        <v>26512.49324</v>
      </c>
      <c r="AW20">
        <f ca="1">IF(AND(ISNUMBER($AW$71),$B$53=1),$AW$71,HLOOKUP(INDIRECT(ADDRESS(2,COLUMN())),OFFSET($BM$2,0,0,ROW()-1,59),ROW()-1,FALSE))</f>
        <v>22524.146239999998</v>
      </c>
      <c r="AX20">
        <f ca="1">IF(AND(ISNUMBER($AX$71),$B$53=1),$AX$71,HLOOKUP(INDIRECT(ADDRESS(2,COLUMN())),OFFSET($BM$2,0,0,ROW()-1,59),ROW()-1,FALSE))</f>
        <v>22905.458500000001</v>
      </c>
      <c r="AY20">
        <f ca="1">IF(AND(ISNUMBER($AY$71),$B$53=1),$AY$71,HLOOKUP(INDIRECT(ADDRESS(2,COLUMN())),OFFSET($BM$2,0,0,ROW()-1,59),ROW()-1,FALSE))</f>
        <v>19049.312330000001</v>
      </c>
      <c r="AZ20">
        <f ca="1">IF(AND(ISNUMBER($AZ$71),$B$53=1),$AZ$71,HLOOKUP(INDIRECT(ADDRESS(2,COLUMN())),OFFSET($BM$2,0,0,ROW()-1,59),ROW()-1,FALSE))</f>
        <v>20466.14227</v>
      </c>
      <c r="BA20">
        <f ca="1">IF(AND(ISNUMBER($BA$71),$B$53=1),$BA$71,HLOOKUP(INDIRECT(ADDRESS(2,COLUMN())),OFFSET($BM$2,0,0,ROW()-1,59),ROW()-1,FALSE))</f>
        <v>17926.897400000002</v>
      </c>
      <c r="BB20">
        <f ca="1">IF(AND(ISNUMBER($BB$71),$B$53=1),$BB$71,HLOOKUP(INDIRECT(ADDRESS(2,COLUMN())),OFFSET($BM$2,0,0,ROW()-1,59),ROW()-1,FALSE))</f>
        <v>17875.288089999998</v>
      </c>
      <c r="BC20">
        <f ca="1">IF(AND(ISNUMBER($BC$71),$B$53=1),$BC$71,HLOOKUP(INDIRECT(ADDRESS(2,COLUMN())),OFFSET($BM$2,0,0,ROW()-1,59),ROW()-1,FALSE))</f>
        <v>15049.77385</v>
      </c>
      <c r="BD20">
        <f ca="1">IF(AND(ISNUMBER($BD$71),$B$53=1),$BD$71,HLOOKUP(INDIRECT(ADDRESS(2,COLUMN())),OFFSET($BM$2,0,0,ROW()-1,59),ROW()-1,FALSE))</f>
        <v>17121.323909999999</v>
      </c>
      <c r="BE20">
        <f ca="1">IF(AND(ISNUMBER($BE$71),$B$53=1),$BE$71,HLOOKUP(INDIRECT(ADDRESS(2,COLUMN())),OFFSET($BM$2,0,0,ROW()-1,59),ROW()-1,FALSE))</f>
        <v>15106.674129999999</v>
      </c>
      <c r="BF20">
        <f ca="1">IF(AND(ISNUMBER($BF$71),$B$53=1),$BF$71,HLOOKUP(INDIRECT(ADDRESS(2,COLUMN())),OFFSET($BM$2,0,0,ROW()-1,59),ROW()-1,FALSE))</f>
        <v>15619.32595</v>
      </c>
      <c r="BG20">
        <f ca="1">IF(AND(ISNUMBER($BG$71),$B$53=1),$BG$71,HLOOKUP(INDIRECT(ADDRESS(2,COLUMN())),OFFSET($BM$2,0,0,ROW()-1,59),ROW()-1,FALSE))</f>
        <v>12925.510120000001</v>
      </c>
      <c r="BH20">
        <f ca="1">IF(AND(ISNUMBER($BH$71),$B$53=1),$BH$71,HLOOKUP(INDIRECT(ADDRESS(2,COLUMN())),OFFSET($BM$2,0,0,ROW()-1,59),ROW()-1,FALSE))</f>
        <v>15171.30791</v>
      </c>
      <c r="BI20">
        <f ca="1">IF(AND(ISNUMBER($BI$71),$B$53=1),$BI$71,HLOOKUP(INDIRECT(ADDRESS(2,COLUMN())),OFFSET($BM$2,0,0,ROW()-1,59),ROW()-1,FALSE))</f>
        <v>14100.18311</v>
      </c>
      <c r="BJ20">
        <f ca="1">IF(AND(ISNUMBER($BJ$71),$B$53=1),$BJ$71,HLOOKUP(INDIRECT(ADDRESS(2,COLUMN())),OFFSET($BM$2,0,0,ROW()-1,59),ROW()-1,FALSE))</f>
        <v>14959.87442</v>
      </c>
      <c r="BK20">
        <f ca="1">IF(AND(ISNUMBER($BK$71),$B$53=1),$BK$71,HLOOKUP(INDIRECT(ADDRESS(2,COLUMN())),OFFSET($BM$2,0,0,ROW()-1,59),ROW()-1,FALSE))</f>
        <v>13019.801670000001</v>
      </c>
      <c r="BL20">
        <f ca="1">IF(AND(ISNUMBER($BL$71),$B$53=1),$BL$71,HLOOKUP(INDIRECT(ADDRESS(2,COLUMN())),OFFSET($BM$2,0,0,ROW()-1,59),ROW()-1,FALSE))</f>
        <v>14860.61968</v>
      </c>
      <c r="BM20">
        <f>34938.9618699999</f>
        <v>34938.961869999999</v>
      </c>
      <c r="BN20">
        <f>33456.94384</f>
        <v>33456.94384</v>
      </c>
      <c r="BO20">
        <f>34565.1669</f>
        <v>34565.166899999997</v>
      </c>
      <c r="BP20">
        <f>33215.23913</f>
        <v>33215.239130000002</v>
      </c>
      <c r="BQ20">
        <f>34008.3536</f>
        <v>34008.353600000002</v>
      </c>
      <c r="BR20">
        <f>31.03446489</f>
        <v>31.034464889999999</v>
      </c>
      <c r="BS20" t="str">
        <f>""</f>
        <v/>
      </c>
      <c r="BT20" t="str">
        <f>""</f>
        <v/>
      </c>
      <c r="BU20" t="str">
        <f>""</f>
        <v/>
      </c>
      <c r="BV20" t="str">
        <f>""</f>
        <v/>
      </c>
      <c r="BW20" t="str">
        <f>""</f>
        <v/>
      </c>
      <c r="BX20" t="str">
        <f>""</f>
        <v/>
      </c>
      <c r="BY20" t="str">
        <f>""</f>
        <v/>
      </c>
      <c r="BZ20" t="str">
        <f>""</f>
        <v/>
      </c>
      <c r="CA20" t="str">
        <f>""</f>
        <v/>
      </c>
      <c r="CB20" t="str">
        <f>""</f>
        <v/>
      </c>
      <c r="CC20" t="str">
        <f>""</f>
        <v/>
      </c>
      <c r="CD20" t="str">
        <f>""</f>
        <v/>
      </c>
      <c r="CE20">
        <f>31993.07614</f>
        <v>31993.076140000001</v>
      </c>
      <c r="CF20">
        <f>30320.0274</f>
        <v>30320.027399999999</v>
      </c>
      <c r="CG20">
        <f>32678.07062</f>
        <v>32678.070619999999</v>
      </c>
      <c r="CH20">
        <f>27464.33285</f>
        <v>27464.332849999999</v>
      </c>
      <c r="CI20">
        <f>29104.02493</f>
        <v>29104.02493</v>
      </c>
      <c r="CJ20">
        <f>26018.03588</f>
        <v>26018.035879999999</v>
      </c>
      <c r="CK20">
        <f>28253.43037</f>
        <v>28253.430369999998</v>
      </c>
      <c r="CL20">
        <f>25566.72316</f>
        <v>25566.723160000001</v>
      </c>
      <c r="CM20">
        <f>27619.6829</f>
        <v>27619.6829</v>
      </c>
      <c r="CN20">
        <f>26521.51051</f>
        <v>26521.51051</v>
      </c>
      <c r="CO20">
        <f>26470.29604</f>
        <v>26470.296040000001</v>
      </c>
      <c r="CP20">
        <f>24795.98565</f>
        <v>24795.985649999999</v>
      </c>
      <c r="CQ20">
        <f>18934.86252</f>
        <v>18934.862519999999</v>
      </c>
      <c r="CR20">
        <f>12609.75206</f>
        <v>12609.752060000001</v>
      </c>
      <c r="CS20">
        <f>12831.47739</f>
        <v>12831.47739</v>
      </c>
      <c r="CT20">
        <f>10915.26262</f>
        <v>10915.26262</v>
      </c>
      <c r="CU20">
        <f>11944.56175</f>
        <v>11944.561750000001</v>
      </c>
      <c r="CV20">
        <f>11905.64532</f>
        <v>11905.64532</v>
      </c>
      <c r="CW20" t="str">
        <f>""</f>
        <v/>
      </c>
      <c r="CX20">
        <f>17236.5509</f>
        <v>17236.550899999998</v>
      </c>
      <c r="CY20">
        <f>17967.73935</f>
        <v>17967.73935</v>
      </c>
      <c r="CZ20">
        <f>14705.46186</f>
        <v>14705.461859999999</v>
      </c>
      <c r="DA20">
        <f>17285.58282</f>
        <v>17285.58282</v>
      </c>
      <c r="DB20">
        <f>21491.96741</f>
        <v>21491.967410000001</v>
      </c>
      <c r="DC20">
        <f>26512.49324</f>
        <v>26512.49324</v>
      </c>
      <c r="DD20">
        <f>22524.14624</f>
        <v>22524.146239999998</v>
      </c>
      <c r="DE20">
        <f>22905.4585</f>
        <v>22905.458500000001</v>
      </c>
      <c r="DF20">
        <f>19049.31233</f>
        <v>19049.312330000001</v>
      </c>
      <c r="DG20">
        <f>20466.14227</f>
        <v>20466.14227</v>
      </c>
      <c r="DH20">
        <f>17926.8974</f>
        <v>17926.897400000002</v>
      </c>
      <c r="DI20">
        <f>17875.28809</f>
        <v>17875.288089999998</v>
      </c>
      <c r="DJ20">
        <f>15049.77385</f>
        <v>15049.77385</v>
      </c>
      <c r="DK20">
        <f>17121.32391</f>
        <v>17121.323909999999</v>
      </c>
      <c r="DL20">
        <f>15106.67413</f>
        <v>15106.674129999999</v>
      </c>
      <c r="DM20">
        <f>15619.32595</f>
        <v>15619.32595</v>
      </c>
      <c r="DN20">
        <f>12925.51012</f>
        <v>12925.510120000001</v>
      </c>
      <c r="DO20">
        <f>15171.30791</f>
        <v>15171.30791</v>
      </c>
      <c r="DP20">
        <f>14100.18311</f>
        <v>14100.18311</v>
      </c>
      <c r="DQ20">
        <f>14959.87442</f>
        <v>14959.87442</v>
      </c>
      <c r="DR20">
        <f>13019.80167</f>
        <v>13019.801670000001</v>
      </c>
      <c r="DS20">
        <f>14860.61968</f>
        <v>14860.61968</v>
      </c>
    </row>
    <row r="21" spans="1:123" x14ac:dyDescent="0.25">
      <c r="A21" t="str">
        <f>"By Geography ($M) - BMW"</f>
        <v>By Geography ($M) - BMW</v>
      </c>
      <c r="B21" t="str">
        <f>"BMW GR Equity"</f>
        <v>BMW GR Equity</v>
      </c>
      <c r="C21" t="str">
        <f>"IS010"</f>
        <v>IS010</v>
      </c>
      <c r="D21" t="str">
        <f>"SALES_REV_TURN"</f>
        <v>SALES_REV_TURN</v>
      </c>
      <c r="E21" t="str">
        <f t="shared" si="1"/>
        <v>Dynamic</v>
      </c>
      <c r="F21" t="str">
        <f ca="1">IF(AND(ISNUMBER($F$72),$B$53=1),$F$72,HLOOKUP(INDIRECT(ADDRESS(2,COLUMN())),OFFSET($BM$2,0,0,ROW()-1,59),ROW()-1,FALSE))</f>
        <v/>
      </c>
      <c r="G21">
        <f ca="1">IF(AND(ISNUMBER($G$72),$B$53=1),$G$72,HLOOKUP(INDIRECT(ADDRESS(2,COLUMN())),OFFSET($BM$2,0,0,ROW()-1,59),ROW()-1,FALSE))</f>
        <v>28772.90193</v>
      </c>
      <c r="H21">
        <f ca="1">IF(AND(ISNUMBER($H$72),$B$53=1),$H$72,HLOOKUP(INDIRECT(ADDRESS(2,COLUMN())),OFFSET($BM$2,0,0,ROW()-1,59),ROW()-1,FALSE))</f>
        <v>29832.172289999999</v>
      </c>
      <c r="I21">
        <f ca="1">IF(AND(ISNUMBER($I$72),$B$53=1),$I$72,HLOOKUP(INDIRECT(ADDRESS(2,COLUMN())),OFFSET($BM$2,0,0,ROW()-1,59),ROW()-1,FALSE))</f>
        <v>27890.133460000001</v>
      </c>
      <c r="J21">
        <f ca="1">IF(AND(ISNUMBER($J$72),$B$53=1),$J$72,HLOOKUP(INDIRECT(ADDRESS(2,COLUMN())),OFFSET($BM$2,0,0,ROW()-1,59),ROW()-1,FALSE))</f>
        <v>30629.424159999999</v>
      </c>
      <c r="K21">
        <f ca="1">IF(AND(ISNUMBER($K$72),$B$53=1),$K$72,HLOOKUP(INDIRECT(ADDRESS(2,COLUMN())),OFFSET($BM$2,0,0,ROW()-1,59),ROW()-1,FALSE))</f>
        <v>27766.998889999999</v>
      </c>
      <c r="L21">
        <f ca="1">IF(AND(ISNUMBER($L$72),$B$53=1),$L$72,HLOOKUP(INDIRECT(ADDRESS(2,COLUMN())),OFFSET($BM$2,0,0,ROW()-1,59),ROW()-1,FALSE))</f>
        <v>28368.246050000002</v>
      </c>
      <c r="M21">
        <f ca="1">IF(AND(ISNUMBER($M$72),$B$53=1),$M$72,HLOOKUP(INDIRECT(ADDRESS(2,COLUMN())),OFFSET($BM$2,0,0,ROW()-1,59),ROW()-1,FALSE))</f>
        <v>25485.60527</v>
      </c>
      <c r="N21">
        <f ca="1">IF(AND(ISNUMBER($N$72),$B$53=1),$N$72,HLOOKUP(INDIRECT(ADDRESS(2,COLUMN())),OFFSET($BM$2,0,0,ROW()-1,59),ROW()-1,FALSE))</f>
        <v>26878.207549999999</v>
      </c>
      <c r="O21">
        <f ca="1">IF(AND(ISNUMBER($O$72),$B$53=1),$O$72,HLOOKUP(INDIRECT(ADDRESS(2,COLUMN())),OFFSET($BM$2,0,0,ROW()-1,59),ROW()-1,FALSE))</f>
        <v>26076.492719999998</v>
      </c>
      <c r="P21">
        <f ca="1">IF(AND(ISNUMBER($P$72),$B$53=1),$P$72,HLOOKUP(INDIRECT(ADDRESS(2,COLUMN())),OFFSET($BM$2,0,0,ROW()-1,59),ROW()-1,FALSE))</f>
        <v>28254.808069999999</v>
      </c>
      <c r="Q21">
        <f ca="1">IF(AND(ISNUMBER($Q$72),$B$53=1),$Q$72,HLOOKUP(INDIRECT(ADDRESS(2,COLUMN())),OFFSET($BM$2,0,0,ROW()-1,59),ROW()-1,FALSE))</f>
        <v>23010.119340000001</v>
      </c>
      <c r="R21">
        <f ca="1">IF(AND(ISNUMBER($R$72),$B$53=1),$R$72,HLOOKUP(INDIRECT(ADDRESS(2,COLUMN())),OFFSET($BM$2,0,0,ROW()-1,59),ROW()-1,FALSE))</f>
        <v>27354.89891</v>
      </c>
      <c r="S21">
        <f ca="1">IF(AND(ISNUMBER($S$72),$B$53=1),$S$72,HLOOKUP(INDIRECT(ADDRESS(2,COLUMN())),OFFSET($BM$2,0,0,ROW()-1,59),ROW()-1,FALSE))</f>
        <v>24846.934099999999</v>
      </c>
      <c r="T21">
        <f ca="1">IF(AND(ISNUMBER($T$72),$B$53=1),$T$72,HLOOKUP(INDIRECT(ADDRESS(2,COLUMN())),OFFSET($BM$2,0,0,ROW()-1,59),ROW()-1,FALSE))</f>
        <v>26492.355329999999</v>
      </c>
      <c r="U21">
        <f ca="1">IF(AND(ISNUMBER($U$72),$B$53=1),$U$72,HLOOKUP(INDIRECT(ADDRESS(2,COLUMN())),OFFSET($BM$2,0,0,ROW()-1,59),ROW()-1,FALSE))</f>
        <v>23562.585429999999</v>
      </c>
      <c r="V21">
        <f ca="1">IF(AND(ISNUMBER($V$72),$B$53=1),$V$72,HLOOKUP(INDIRECT(ADDRESS(2,COLUMN())),OFFSET($BM$2,0,0,ROW()-1,59),ROW()-1,FALSE))</f>
        <v>28297.424180000002</v>
      </c>
      <c r="W21">
        <f ca="1">IF(AND(ISNUMBER($W$72),$B$53=1),$W$72,HLOOKUP(INDIRECT(ADDRESS(2,COLUMN())),OFFSET($BM$2,0,0,ROW()-1,59),ROW()-1,FALSE))</f>
        <v>25975.765670000001</v>
      </c>
      <c r="X21">
        <f ca="1">IF(AND(ISNUMBER($X$72),$B$53=1),$X$72,HLOOKUP(INDIRECT(ADDRESS(2,COLUMN())),OFFSET($BM$2,0,0,ROW()-1,59),ROW()-1,FALSE))</f>
        <v>27298.618849999999</v>
      </c>
      <c r="Y21">
        <f ca="1">IF(AND(ISNUMBER($Y$72),$B$53=1),$Y$72,HLOOKUP(INDIRECT(ADDRESS(2,COLUMN())),OFFSET($BM$2,0,0,ROW()-1,59),ROW()-1,FALSE))</f>
        <v>24989.18417</v>
      </c>
      <c r="Z21">
        <f ca="1">IF(AND(ISNUMBER($Z$72),$B$53=1),$Z$72,HLOOKUP(INDIRECT(ADDRESS(2,COLUMN())),OFFSET($BM$2,0,0,ROW()-1,59),ROW()-1,FALSE))</f>
        <v>27516.51211</v>
      </c>
      <c r="AA21">
        <f ca="1">IF(AND(ISNUMBER($AA$72),$B$53=1),$AA$72,HLOOKUP(INDIRECT(ADDRESS(2,COLUMN())),OFFSET($BM$2,0,0,ROW()-1,59),ROW()-1,FALSE))</f>
        <v>24838.841710000001</v>
      </c>
      <c r="AB21">
        <f ca="1">IF(AND(ISNUMBER($AB$72),$B$53=1),$AB$72,HLOOKUP(INDIRECT(ADDRESS(2,COLUMN())),OFFSET($BM$2,0,0,ROW()-1,59),ROW()-1,FALSE))</f>
        <v>25539.333760000001</v>
      </c>
      <c r="AC21">
        <f ca="1">IF(AND(ISNUMBER($AC$72),$B$53=1),$AC$72,HLOOKUP(INDIRECT(ADDRESS(2,COLUMN())),OFFSET($BM$2,0,0,ROW()-1,59),ROW()-1,FALSE))</f>
        <v>23164.989979999998</v>
      </c>
      <c r="AD21">
        <f ca="1">IF(AND(ISNUMBER($AD$72),$B$53=1),$AD$72,HLOOKUP(INDIRECT(ADDRESS(2,COLUMN())),OFFSET($BM$2,0,0,ROW()-1,59),ROW()-1,FALSE))</f>
        <v>26645.806929999999</v>
      </c>
      <c r="AE21">
        <f ca="1">IF(AND(ISNUMBER($AE$72),$B$53=1),$AE$72,HLOOKUP(INDIRECT(ADDRESS(2,COLUMN())),OFFSET($BM$2,0,0,ROW()-1,59),ROW()-1,FALSE))</f>
        <v>23540.100289999998</v>
      </c>
      <c r="AF21">
        <f ca="1">IF(AND(ISNUMBER($AF$72),$B$53=1),$AF$72,HLOOKUP(INDIRECT(ADDRESS(2,COLUMN())),OFFSET($BM$2,0,0,ROW()-1,59),ROW()-1,FALSE))</f>
        <v>24640.083210000001</v>
      </c>
      <c r="AG21">
        <f ca="1">IF(AND(ISNUMBER($AG$72),$B$53=1),$AG$72,HLOOKUP(INDIRECT(ADDRESS(2,COLUMN())),OFFSET($BM$2,0,0,ROW()-1,59),ROW()-1,FALSE))</f>
        <v>23992.77938</v>
      </c>
      <c r="AH21">
        <f ca="1">IF(AND(ISNUMBER($AH$72),$B$53=1),$AH$72,HLOOKUP(INDIRECT(ADDRESS(2,COLUMN())),OFFSET($BM$2,0,0,ROW()-1,59),ROW()-1,FALSE))</f>
        <v>24725.283149999999</v>
      </c>
      <c r="AI21">
        <f ca="1">IF(AND(ISNUMBER($AI$72),$B$53=1),$AI$72,HLOOKUP(INDIRECT(ADDRESS(2,COLUMN())),OFFSET($BM$2,0,0,ROW()-1,59),ROW()-1,FALSE))</f>
        <v>23376.206389999999</v>
      </c>
      <c r="AJ21">
        <f ca="1">IF(AND(ISNUMBER($AJ$72),$B$53=1),$AJ$72,HLOOKUP(INDIRECT(ADDRESS(2,COLUMN())),OFFSET($BM$2,0,0,ROW()-1,59),ROW()-1,FALSE))</f>
        <v>25751.297859999999</v>
      </c>
      <c r="AK21">
        <f ca="1">IF(AND(ISNUMBER($AK$72),$B$53=1),$AK$72,HLOOKUP(INDIRECT(ADDRESS(2,COLUMN())),OFFSET($BM$2,0,0,ROW()-1,59),ROW()-1,FALSE))</f>
        <v>21956.850569999999</v>
      </c>
      <c r="AL21">
        <f ca="1">IF(AND(ISNUMBER($AL$72),$B$53=1),$AL$72,HLOOKUP(INDIRECT(ADDRESS(2,COLUMN())),OFFSET($BM$2,0,0,ROW()-1,59),ROW()-1,FALSE))</f>
        <v>22733.38133</v>
      </c>
      <c r="AM21">
        <f ca="1">IF(AND(ISNUMBER($AM$72),$B$53=1),$AM$72,HLOOKUP(INDIRECT(ADDRESS(2,COLUMN())),OFFSET($BM$2,0,0,ROW()-1,59),ROW()-1,FALSE))</f>
        <v>20605.078890000001</v>
      </c>
      <c r="AN21">
        <f ca="1">IF(AND(ISNUMBER($AN$72),$B$53=1),$AN$72,HLOOKUP(INDIRECT(ADDRESS(2,COLUMN())),OFFSET($BM$2,0,0,ROW()-1,59),ROW()-1,FALSE))</f>
        <v>19542.173930000001</v>
      </c>
      <c r="AO21">
        <f ca="1">IF(AND(ISNUMBER($AO$72),$B$53=1),$AO$72,HLOOKUP(INDIRECT(ADDRESS(2,COLUMN())),OFFSET($BM$2,0,0,ROW()-1,59),ROW()-1,FALSE))</f>
        <v>17219.800620000002</v>
      </c>
      <c r="AP21">
        <f ca="1">IF(AND(ISNUMBER($AP$72),$B$53=1),$AP$72,HLOOKUP(INDIRECT(ADDRESS(2,COLUMN())),OFFSET($BM$2,0,0,ROW()-1,59),ROW()-1,FALSE))</f>
        <v>21318.032039999998</v>
      </c>
      <c r="AQ21">
        <f ca="1">IF(AND(ISNUMBER($AQ$72),$B$53=1),$AQ$72,HLOOKUP(INDIRECT(ADDRESS(2,COLUMN())),OFFSET($BM$2,0,0,ROW()-1,59),ROW()-1,FALSE))</f>
        <v>16821.694920000002</v>
      </c>
      <c r="AR21">
        <f ca="1">IF(AND(ISNUMBER($AR$72),$B$53=1),$AR$72,HLOOKUP(INDIRECT(ADDRESS(2,COLUMN())),OFFSET($BM$2,0,0,ROW()-1,59),ROW()-1,FALSE))</f>
        <v>17677.453519999999</v>
      </c>
      <c r="AS21">
        <f ca="1">IF(AND(ISNUMBER($AS$72),$B$53=1),$AS$72,HLOOKUP(INDIRECT(ADDRESS(2,COLUMN())),OFFSET($BM$2,0,0,ROW()-1,59),ROW()-1,FALSE))</f>
        <v>15019.9823</v>
      </c>
      <c r="AT21">
        <f ca="1">IF(AND(ISNUMBER($AT$72),$B$53=1),$AT$72,HLOOKUP(INDIRECT(ADDRESS(2,COLUMN())),OFFSET($BM$2,0,0,ROW()-1,59),ROW()-1,FALSE))</f>
        <v>16863.081559999999</v>
      </c>
      <c r="AU21">
        <f ca="1">IF(AND(ISNUMBER($AU$72),$B$53=1),$AU$72,HLOOKUP(INDIRECT(ADDRESS(2,COLUMN())),OFFSET($BM$2,0,0,ROW()-1,59),ROW()-1,FALSE))</f>
        <v>18924.236550000001</v>
      </c>
      <c r="AV21">
        <f ca="1">IF(AND(ISNUMBER($AV$72),$B$53=1),$AV$72,HLOOKUP(INDIRECT(ADDRESS(2,COLUMN())),OFFSET($BM$2,0,0,ROW()-1,59),ROW()-1,FALSE))</f>
        <v>22738.834309999998</v>
      </c>
      <c r="AW21">
        <f ca="1">IF(AND(ISNUMBER($AW$72),$B$53=1),$AW$72,HLOOKUP(INDIRECT(ADDRESS(2,COLUMN())),OFFSET($BM$2,0,0,ROW()-1,59),ROW()-1,FALSE))</f>
        <v>19915.6927</v>
      </c>
      <c r="AX21">
        <f ca="1">IF(AND(ISNUMBER($AX$72),$B$53=1),$AX$72,HLOOKUP(INDIRECT(ADDRESS(2,COLUMN())),OFFSET($BM$2,0,0,ROW()-1,59),ROW()-1,FALSE))</f>
        <v>22601.326840000002</v>
      </c>
      <c r="AY21">
        <f ca="1">IF(AND(ISNUMBER($AY$72),$B$53=1),$AY$72,HLOOKUP(INDIRECT(ADDRESS(2,COLUMN())),OFFSET($BM$2,0,0,ROW()-1,59),ROW()-1,FALSE))</f>
        <v>18939.343720000001</v>
      </c>
      <c r="AZ21">
        <f ca="1">IF(AND(ISNUMBER($AZ$72),$B$53=1),$AZ$72,HLOOKUP(INDIRECT(ADDRESS(2,COLUMN())),OFFSET($BM$2,0,0,ROW()-1,59),ROW()-1,FALSE))</f>
        <v>19797.375779999998</v>
      </c>
      <c r="BA21">
        <f ca="1">IF(AND(ISNUMBER($BA$72),$B$53=1),$BA$72,HLOOKUP(INDIRECT(ADDRESS(2,COLUMN())),OFFSET($BM$2,0,0,ROW()-1,59),ROW()-1,FALSE))</f>
        <v>15665.71738</v>
      </c>
      <c r="BB21">
        <f ca="1">IF(AND(ISNUMBER($BB$72),$B$53=1),$BB$72,HLOOKUP(INDIRECT(ADDRESS(2,COLUMN())),OFFSET($BM$2,0,0,ROW()-1,59),ROW()-1,FALSE))</f>
        <v>16291.41813</v>
      </c>
      <c r="BC21">
        <f ca="1">IF(AND(ISNUMBER($BC$72),$B$53=1),$BC$72,HLOOKUP(INDIRECT(ADDRESS(2,COLUMN())),OFFSET($BM$2,0,0,ROW()-1,59),ROW()-1,FALSE))</f>
        <v>14728.61685</v>
      </c>
      <c r="BD21">
        <f ca="1">IF(AND(ISNUMBER($BD$72),$B$53=1),$BD$72,HLOOKUP(INDIRECT(ADDRESS(2,COLUMN())),OFFSET($BM$2,0,0,ROW()-1,59),ROW()-1,FALSE))</f>
        <v>16599.178889999999</v>
      </c>
      <c r="BE21">
        <f ca="1">IF(AND(ISNUMBER($BE$72),$B$53=1),$BE$72,HLOOKUP(INDIRECT(ADDRESS(2,COLUMN())),OFFSET($BM$2,0,0,ROW()-1,59),ROW()-1,FALSE))</f>
        <v>13978.1252</v>
      </c>
      <c r="BF21">
        <f ca="1">IF(AND(ISNUMBER($BF$72),$B$53=1),$BF$72,HLOOKUP(INDIRECT(ADDRESS(2,COLUMN())),OFFSET($BM$2,0,0,ROW()-1,59),ROW()-1,FALSE))</f>
        <v>14762.283789999999</v>
      </c>
      <c r="BG21">
        <f ca="1">IF(AND(ISNUMBER($BG$72),$B$53=1),$BG$72,HLOOKUP(INDIRECT(ADDRESS(2,COLUMN())),OFFSET($BM$2,0,0,ROW()-1,59),ROW()-1,FALSE))</f>
        <v>14296.489960000001</v>
      </c>
      <c r="BH21">
        <f ca="1">IF(AND(ISNUMBER($BH$72),$B$53=1),$BH$72,HLOOKUP(INDIRECT(ADDRESS(2,COLUMN())),OFFSET($BM$2,0,0,ROW()-1,59),ROW()-1,FALSE))</f>
        <v>15306.00173</v>
      </c>
      <c r="BI21">
        <f ca="1">IF(AND(ISNUMBER($BI$72),$B$53=1),$BI$72,HLOOKUP(INDIRECT(ADDRESS(2,COLUMN())),OFFSET($BM$2,0,0,ROW()-1,59),ROW()-1,FALSE))</f>
        <v>13578.39111</v>
      </c>
      <c r="BJ21">
        <f ca="1">IF(AND(ISNUMBER($BJ$72),$B$53=1),$BJ$72,HLOOKUP(INDIRECT(ADDRESS(2,COLUMN())),OFFSET($BM$2,0,0,ROW()-1,59),ROW()-1,FALSE))</f>
        <v>14292.56769</v>
      </c>
      <c r="BK21">
        <f ca="1">IF(AND(ISNUMBER($BK$72),$B$53=1),$BK$72,HLOOKUP(INDIRECT(ADDRESS(2,COLUMN())),OFFSET($BM$2,0,0,ROW()-1,59),ROW()-1,FALSE))</f>
        <v>12974.56006</v>
      </c>
      <c r="BL21">
        <f ca="1">IF(AND(ISNUMBER($BL$72),$B$53=1),$BL$72,HLOOKUP(INDIRECT(ADDRESS(2,COLUMN())),OFFSET($BM$2,0,0,ROW()-1,59),ROW()-1,FALSE))</f>
        <v>14352.090529999999</v>
      </c>
      <c r="BM21" t="str">
        <f>""</f>
        <v/>
      </c>
      <c r="BN21">
        <f>28772.90193</f>
        <v>28772.90193</v>
      </c>
      <c r="BO21">
        <f>29832.17229</f>
        <v>29832.172289999999</v>
      </c>
      <c r="BP21">
        <f>27890.13346</f>
        <v>27890.133460000001</v>
      </c>
      <c r="BQ21">
        <f>30629.42416</f>
        <v>30629.424159999999</v>
      </c>
      <c r="BR21">
        <f>27766.99889</f>
        <v>27766.998889999999</v>
      </c>
      <c r="BS21">
        <f>28368.24605</f>
        <v>28368.246050000002</v>
      </c>
      <c r="BT21">
        <f>25485.60527</f>
        <v>25485.60527</v>
      </c>
      <c r="BU21">
        <f>26878.20755</f>
        <v>26878.207549999999</v>
      </c>
      <c r="BV21">
        <f>26076.49272</f>
        <v>26076.492719999998</v>
      </c>
      <c r="BW21">
        <f>28254.80807</f>
        <v>28254.808069999999</v>
      </c>
      <c r="BX21">
        <f>23010.11934</f>
        <v>23010.119340000001</v>
      </c>
      <c r="BY21">
        <f>27354.89891</f>
        <v>27354.89891</v>
      </c>
      <c r="BZ21">
        <f>24846.9341</f>
        <v>24846.934099999999</v>
      </c>
      <c r="CA21">
        <f>26492.35533</f>
        <v>26492.355329999999</v>
      </c>
      <c r="CB21">
        <f>23562.58543</f>
        <v>23562.585429999999</v>
      </c>
      <c r="CC21">
        <f>28297.42418</f>
        <v>28297.424180000002</v>
      </c>
      <c r="CD21">
        <f>25975.76567</f>
        <v>25975.765670000001</v>
      </c>
      <c r="CE21">
        <f>27298.61885</f>
        <v>27298.618849999999</v>
      </c>
      <c r="CF21">
        <f>24989.18417</f>
        <v>24989.18417</v>
      </c>
      <c r="CG21">
        <f>27516.51211</f>
        <v>27516.51211</v>
      </c>
      <c r="CH21">
        <f>24838.84171</f>
        <v>24838.841710000001</v>
      </c>
      <c r="CI21">
        <f>25539.33376</f>
        <v>25539.333760000001</v>
      </c>
      <c r="CJ21">
        <f>23164.98998</f>
        <v>23164.989979999998</v>
      </c>
      <c r="CK21">
        <f>26645.80693</f>
        <v>26645.806929999999</v>
      </c>
      <c r="CL21">
        <f>23540.10029</f>
        <v>23540.100289999998</v>
      </c>
      <c r="CM21">
        <f>24640.08321</f>
        <v>24640.083210000001</v>
      </c>
      <c r="CN21">
        <f>23992.77938</f>
        <v>23992.77938</v>
      </c>
      <c r="CO21">
        <f>24725.28315</f>
        <v>24725.283149999999</v>
      </c>
      <c r="CP21">
        <f>23376.20639</f>
        <v>23376.206389999999</v>
      </c>
      <c r="CQ21">
        <f>25751.29786</f>
        <v>25751.297859999999</v>
      </c>
      <c r="CR21">
        <f>21956.85057</f>
        <v>21956.850569999999</v>
      </c>
      <c r="CS21">
        <f>22733.38133</f>
        <v>22733.38133</v>
      </c>
      <c r="CT21">
        <f>20605.07889</f>
        <v>20605.078890000001</v>
      </c>
      <c r="CU21">
        <f>19542.17393</f>
        <v>19542.173930000001</v>
      </c>
      <c r="CV21">
        <f>17219.80062</f>
        <v>17219.800620000002</v>
      </c>
      <c r="CW21">
        <f>21318.03204</f>
        <v>21318.032039999998</v>
      </c>
      <c r="CX21">
        <f>16821.69492</f>
        <v>16821.694920000002</v>
      </c>
      <c r="CY21">
        <f>17677.45352</f>
        <v>17677.453519999999</v>
      </c>
      <c r="CZ21">
        <f>15019.9823</f>
        <v>15019.9823</v>
      </c>
      <c r="DA21">
        <f>16863.08156</f>
        <v>16863.081559999999</v>
      </c>
      <c r="DB21">
        <f>18924.23655</f>
        <v>18924.236550000001</v>
      </c>
      <c r="DC21">
        <f>22738.83431</f>
        <v>22738.834309999998</v>
      </c>
      <c r="DD21">
        <f>19915.6927</f>
        <v>19915.6927</v>
      </c>
      <c r="DE21">
        <f>22601.32684</f>
        <v>22601.326840000002</v>
      </c>
      <c r="DF21">
        <f>18939.34372</f>
        <v>18939.343720000001</v>
      </c>
      <c r="DG21">
        <f>19797.37578</f>
        <v>19797.375779999998</v>
      </c>
      <c r="DH21">
        <f>15665.71738</f>
        <v>15665.71738</v>
      </c>
      <c r="DI21">
        <f>16291.41813</f>
        <v>16291.41813</v>
      </c>
      <c r="DJ21">
        <f>14728.61685</f>
        <v>14728.61685</v>
      </c>
      <c r="DK21">
        <f>16599.17889</f>
        <v>16599.178889999999</v>
      </c>
      <c r="DL21">
        <f>13978.1252</f>
        <v>13978.1252</v>
      </c>
      <c r="DM21">
        <f>14762.28379</f>
        <v>14762.283789999999</v>
      </c>
      <c r="DN21">
        <f>14296.48996</f>
        <v>14296.489960000001</v>
      </c>
      <c r="DO21">
        <f>15306.00173</f>
        <v>15306.00173</v>
      </c>
      <c r="DP21">
        <f>13578.39111</f>
        <v>13578.39111</v>
      </c>
      <c r="DQ21">
        <f>14292.56769</f>
        <v>14292.56769</v>
      </c>
      <c r="DR21">
        <f>12974.56006</f>
        <v>12974.56006</v>
      </c>
      <c r="DS21">
        <f>14352.09053</f>
        <v>14352.090529999999</v>
      </c>
    </row>
    <row r="22" spans="1:123" x14ac:dyDescent="0.25">
      <c r="A22" t="str">
        <f>"By Geography ($M) - Hyundai"</f>
        <v>By Geography ($M) - Hyundai</v>
      </c>
      <c r="B22" t="str">
        <f>"005380 KS Equity"</f>
        <v>005380 KS Equity</v>
      </c>
      <c r="C22" t="str">
        <f>"IS010"</f>
        <v>IS010</v>
      </c>
      <c r="D22" t="str">
        <f>"SALES_REV_TURN"</f>
        <v>SALES_REV_TURN</v>
      </c>
      <c r="E22" t="str">
        <f t="shared" si="1"/>
        <v>Dynamic</v>
      </c>
      <c r="F22">
        <f ca="1">IF(AND(ISNUMBER($F$73),$B$53=1),$F$73,HLOOKUP(INDIRECT(ADDRESS(2,COLUMN())),OFFSET($BM$2,0,0,ROW()-1,59),ROW()-1,FALSE))</f>
        <v>22763.178329999999</v>
      </c>
      <c r="G22">
        <f ca="1">IF(AND(ISNUMBER($G$73),$B$53=1),$G$73,HLOOKUP(INDIRECT(ADDRESS(2,COLUMN())),OFFSET($BM$2,0,0,ROW()-1,59),ROW()-1,FALSE))</f>
        <v>21788.597969999999</v>
      </c>
      <c r="H22">
        <f ca="1">IF(AND(ISNUMBER($H$73),$B$53=1),$H$73,HLOOKUP(INDIRECT(ADDRESS(2,COLUMN())),OFFSET($BM$2,0,0,ROW()-1,59),ROW()-1,FALSE))</f>
        <v>22876.333559999999</v>
      </c>
      <c r="I22">
        <f ca="1">IF(AND(ISNUMBER($I$73),$B$53=1),$I$73,HLOOKUP(INDIRECT(ADDRESS(2,COLUMN())),OFFSET($BM$2,0,0,ROW()-1,59),ROW()-1,FALSE))</f>
        <v>20928.832050000001</v>
      </c>
      <c r="J22">
        <f ca="1">IF(AND(ISNUMBER($J$73),$B$53=1),$J$73,HLOOKUP(INDIRECT(ADDRESS(2,COLUMN())),OFFSET($BM$2,0,0,ROW()-1,59),ROW()-1,FALSE))</f>
        <v>22144.763869999999</v>
      </c>
      <c r="K22">
        <f ca="1">IF(AND(ISNUMBER($K$73),$B$53=1),$K$73,HLOOKUP(INDIRECT(ADDRESS(2,COLUMN())),OFFSET($BM$2,0,0,ROW()-1,59),ROW()-1,FALSE))</f>
        <v>21366.097949999999</v>
      </c>
      <c r="L22">
        <f ca="1">IF(AND(ISNUMBER($L$73),$B$53=1),$L$73,HLOOKUP(INDIRECT(ADDRESS(2,COLUMN())),OFFSET($BM$2,0,0,ROW()-1,59),ROW()-1,FALSE))</f>
        <v>21499.731970000001</v>
      </c>
      <c r="M22">
        <f ca="1">IF(AND(ISNUMBER($M$73),$B$53=1),$M$73,HLOOKUP(INDIRECT(ADDRESS(2,COLUMN())),OFFSET($BM$2,0,0,ROW()-1,59),ROW()-1,FALSE))</f>
        <v>20286.929940000002</v>
      </c>
      <c r="N22">
        <f ca="1">IF(AND(ISNUMBER($N$73),$B$53=1),$N$73,HLOOKUP(INDIRECT(ADDRESS(2,COLUMN())),OFFSET($BM$2,0,0,ROW()-1,59),ROW()-1,FALSE))</f>
        <v>21174.095679999999</v>
      </c>
      <c r="O22">
        <f ca="1">IF(AND(ISNUMBER($O$73),$B$53=1),$O$73,HLOOKUP(INDIRECT(ADDRESS(2,COLUMN())),OFFSET($BM$2,0,0,ROW()-1,59),ROW()-1,FALSE))</f>
        <v>19711.726180000001</v>
      </c>
      <c r="P22">
        <f ca="1">IF(AND(ISNUMBER($P$73),$B$53=1),$P$73,HLOOKUP(INDIRECT(ADDRESS(2,COLUMN())),OFFSET($BM$2,0,0,ROW()-1,59),ROW()-1,FALSE))</f>
        <v>21218.643049999999</v>
      </c>
      <c r="Q22">
        <f ca="1">IF(AND(ISNUMBER($Q$73),$B$53=1),$Q$73,HLOOKUP(INDIRECT(ADDRESS(2,COLUMN())),OFFSET($BM$2,0,0,ROW()-1,59),ROW()-1,FALSE))</f>
        <v>18628.859489999999</v>
      </c>
      <c r="R22">
        <f ca="1">IF(AND(ISNUMBER($R$73),$B$53=1),$R$73,HLOOKUP(INDIRECT(ADDRESS(2,COLUMN())),OFFSET($BM$2,0,0,ROW()-1,59),ROW()-1,FALSE))</f>
        <v>21387.761859999999</v>
      </c>
      <c r="S22">
        <f ca="1">IF(AND(ISNUMBER($S$73),$B$53=1),$S$73,HLOOKUP(INDIRECT(ADDRESS(2,COLUMN())),OFFSET($BM$2,0,0,ROW()-1,59),ROW()-1,FALSE))</f>
        <v>20032.715980000001</v>
      </c>
      <c r="T22">
        <f ca="1">IF(AND(ISNUMBER($T$73),$B$53=1),$T$73,HLOOKUP(INDIRECT(ADDRESS(2,COLUMN())),OFFSET($BM$2,0,0,ROW()-1,59),ROW()-1,FALSE))</f>
        <v>20792.145329999999</v>
      </c>
      <c r="U22">
        <f ca="1">IF(AND(ISNUMBER($U$73),$B$53=1),$U$73,HLOOKUP(INDIRECT(ADDRESS(2,COLUMN())),OFFSET($BM$2,0,0,ROW()-1,59),ROW()-1,FALSE))</f>
        <v>19014.591540000001</v>
      </c>
      <c r="V22">
        <f ca="1">IF(AND(ISNUMBER($V$73),$B$53=1),$V$73,HLOOKUP(INDIRECT(ADDRESS(2,COLUMN())),OFFSET($BM$2,0,0,ROW()-1,59),ROW()-1,FALSE))</f>
        <v>21681.033899999999</v>
      </c>
      <c r="W22">
        <f ca="1">IF(AND(ISNUMBER($W$73),$B$53=1),$W$73,HLOOKUP(INDIRECT(ADDRESS(2,COLUMN())),OFFSET($BM$2,0,0,ROW()-1,59),ROW()-1,FALSE))</f>
        <v>20720.410909999999</v>
      </c>
      <c r="X22">
        <f ca="1">IF(AND(ISNUMBER($X$73),$B$53=1),$X$73,HLOOKUP(INDIRECT(ADDRESS(2,COLUMN())),OFFSET($BM$2,0,0,ROW()-1,59),ROW()-1,FALSE))</f>
        <v>22112.446240000001</v>
      </c>
      <c r="Y22">
        <f ca="1">IF(AND(ISNUMBER($Y$73),$B$53=1),$Y$73,HLOOKUP(INDIRECT(ADDRESS(2,COLUMN())),OFFSET($BM$2,0,0,ROW()-1,59),ROW()-1,FALSE))</f>
        <v>20243.33712</v>
      </c>
      <c r="Z22">
        <f ca="1">IF(AND(ISNUMBER($Z$73),$B$53=1),$Z$73,HLOOKUP(INDIRECT(ADDRESS(2,COLUMN())),OFFSET($BM$2,0,0,ROW()-1,59),ROW()-1,FALSE))</f>
        <v>20655.435259999998</v>
      </c>
      <c r="AA22">
        <f ca="1">IF(AND(ISNUMBER($AA$73),$B$53=1),$AA$73,HLOOKUP(INDIRECT(ADDRESS(2,COLUMN())),OFFSET($BM$2,0,0,ROW()-1,59),ROW()-1,FALSE))</f>
        <v>18776.680560000001</v>
      </c>
      <c r="AB22">
        <f ca="1">IF(AND(ISNUMBER($AB$73),$B$53=1),$AB$73,HLOOKUP(INDIRECT(ADDRESS(2,COLUMN())),OFFSET($BM$2,0,0,ROW()-1,59),ROW()-1,FALSE))</f>
        <v>20653.334569999999</v>
      </c>
      <c r="AC22">
        <f ca="1">IF(AND(ISNUMBER($AC$73),$B$53=1),$AC$73,HLOOKUP(INDIRECT(ADDRESS(2,COLUMN())),OFFSET($BM$2,0,0,ROW()-1,59),ROW()-1,FALSE))</f>
        <v>19692.00244</v>
      </c>
      <c r="AD22">
        <f ca="1">IF(AND(ISNUMBER($AD$73),$B$53=1),$AD$73,HLOOKUP(INDIRECT(ADDRESS(2,COLUMN())),OFFSET($BM$2,0,0,ROW()-1,59),ROW()-1,FALSE))</f>
        <v>20844.402709999998</v>
      </c>
      <c r="AE22">
        <f ca="1">IF(AND(ISNUMBER($AE$73),$B$53=1),$AE$73,HLOOKUP(INDIRECT(ADDRESS(2,COLUMN())),OFFSET($BM$2,0,0,ROW()-1,59),ROW()-1,FALSE))</f>
        <v>17340.681349999999</v>
      </c>
      <c r="AF22">
        <f ca="1">IF(AND(ISNUMBER($AF$73),$B$53=1),$AF$73,HLOOKUP(INDIRECT(ADDRESS(2,COLUMN())),OFFSET($BM$2,0,0,ROW()-1,59),ROW()-1,FALSE))</f>
        <v>19038.22018</v>
      </c>
      <c r="AG22">
        <f ca="1">IF(AND(ISNUMBER($AG$73),$B$53=1),$AG$73,HLOOKUP(INDIRECT(ADDRESS(2,COLUMN())),OFFSET($BM$2,0,0,ROW()-1,59),ROW()-1,FALSE))</f>
        <v>17835.252619999999</v>
      </c>
      <c r="AH22">
        <f ca="1">IF(AND(ISNUMBER($AH$73),$B$53=1),$AH$73,HLOOKUP(INDIRECT(ADDRESS(2,COLUMN())),OFFSET($BM$2,0,0,ROW()-1,59),ROW()-1,FALSE))</f>
        <v>17927.31596</v>
      </c>
      <c r="AI22">
        <f ca="1">IF(AND(ISNUMBER($AI$73),$B$53=1),$AI$73,HLOOKUP(INDIRECT(ADDRESS(2,COLUMN())),OFFSET($BM$2,0,0,ROW()-1,59),ROW()-1,FALSE))</f>
        <v>17487.99525</v>
      </c>
      <c r="AJ22">
        <f ca="1">IF(AND(ISNUMBER($AJ$73),$B$53=1),$AJ$73,HLOOKUP(INDIRECT(ADDRESS(2,COLUMN())),OFFSET($BM$2,0,0,ROW()-1,59),ROW()-1,FALSE))</f>
        <v>18550.088100000001</v>
      </c>
      <c r="AK22">
        <f ca="1">IF(AND(ISNUMBER($AK$73),$B$53=1),$AK$73,HLOOKUP(INDIRECT(ADDRESS(2,COLUMN())),OFFSET($BM$2,0,0,ROW()-1,59),ROW()-1,FALSE))</f>
        <v>16299.969489999999</v>
      </c>
      <c r="AL22">
        <f ca="1">IF(AND(ISNUMBER($AL$73),$B$53=1),$AL$73,HLOOKUP(INDIRECT(ADDRESS(2,COLUMN())),OFFSET($BM$2,0,0,ROW()-1,59),ROW()-1,FALSE))</f>
        <v>16366.69716</v>
      </c>
      <c r="AM22">
        <f ca="1">IF(AND(ISNUMBER($AM$73),$B$53=1),$AM$73,HLOOKUP(INDIRECT(ADDRESS(2,COLUMN())),OFFSET($BM$2,0,0,ROW()-1,59),ROW()-1,FALSE))</f>
        <v>14012.11047</v>
      </c>
      <c r="AN22">
        <f ca="1">IF(AND(ISNUMBER($AN$73),$B$53=1),$AN$73,HLOOKUP(INDIRECT(ADDRESS(2,COLUMN())),OFFSET($BM$2,0,0,ROW()-1,59),ROW()-1,FALSE))</f>
        <v>14469.949559999999</v>
      </c>
      <c r="AO22">
        <f ca="1">IF(AND(ISNUMBER($AO$73),$B$53=1),$AO$73,HLOOKUP(INDIRECT(ADDRESS(2,COLUMN())),OFFSET($BM$2,0,0,ROW()-1,59),ROW()-1,FALSE))</f>
        <v>13129.652669999999</v>
      </c>
      <c r="AP22" t="str">
        <f ca="1">IF(AND(ISNUMBER($AP$73),$B$53=1),$AP$73,HLOOKUP(INDIRECT(ADDRESS(2,COLUMN())),OFFSET($BM$2,0,0,ROW()-1,59),ROW()-1,FALSE))</f>
        <v/>
      </c>
      <c r="AQ22" t="str">
        <f ca="1">IF(AND(ISNUMBER($AQ$73),$B$53=1),$AQ$73,HLOOKUP(INDIRECT(ADDRESS(2,COLUMN())),OFFSET($BM$2,0,0,ROW()-1,59),ROW()-1,FALSE))</f>
        <v/>
      </c>
      <c r="AR22" t="str">
        <f ca="1">IF(AND(ISNUMBER($AR$73),$B$53=1),$AR$73,HLOOKUP(INDIRECT(ADDRESS(2,COLUMN())),OFFSET($BM$2,0,0,ROW()-1,59),ROW()-1,FALSE))</f>
        <v/>
      </c>
      <c r="AS22" t="str">
        <f ca="1">IF(AND(ISNUMBER($AS$73),$B$53=1),$AS$73,HLOOKUP(INDIRECT(ADDRESS(2,COLUMN())),OFFSET($BM$2,0,0,ROW()-1,59),ROW()-1,FALSE))</f>
        <v/>
      </c>
      <c r="AT22" t="str">
        <f ca="1">IF(AND(ISNUMBER($AT$73),$B$53=1),$AT$73,HLOOKUP(INDIRECT(ADDRESS(2,COLUMN())),OFFSET($BM$2,0,0,ROW()-1,59),ROW()-1,FALSE))</f>
        <v/>
      </c>
      <c r="AU22" t="str">
        <f ca="1">IF(AND(ISNUMBER($AU$73),$B$53=1),$AU$73,HLOOKUP(INDIRECT(ADDRESS(2,COLUMN())),OFFSET($BM$2,0,0,ROW()-1,59),ROW()-1,FALSE))</f>
        <v/>
      </c>
      <c r="AV22" t="str">
        <f ca="1">IF(AND(ISNUMBER($AV$73),$B$53=1),$AV$73,HLOOKUP(INDIRECT(ADDRESS(2,COLUMN())),OFFSET($BM$2,0,0,ROW()-1,59),ROW()-1,FALSE))</f>
        <v/>
      </c>
      <c r="AW22" t="str">
        <f ca="1">IF(AND(ISNUMBER($AW$73),$B$53=1),$AW$73,HLOOKUP(INDIRECT(ADDRESS(2,COLUMN())),OFFSET($BM$2,0,0,ROW()-1,59),ROW()-1,FALSE))</f>
        <v/>
      </c>
      <c r="AX22" t="str">
        <f ca="1">IF(AND(ISNUMBER($AX$73),$B$53=1),$AX$73,HLOOKUP(INDIRECT(ADDRESS(2,COLUMN())),OFFSET($BM$2,0,0,ROW()-1,59),ROW()-1,FALSE))</f>
        <v/>
      </c>
      <c r="AY22" t="str">
        <f ca="1">IF(AND(ISNUMBER($AY$73),$B$53=1),$AY$73,HLOOKUP(INDIRECT(ADDRESS(2,COLUMN())),OFFSET($BM$2,0,0,ROW()-1,59),ROW()-1,FALSE))</f>
        <v/>
      </c>
      <c r="AZ22" t="str">
        <f ca="1">IF(AND(ISNUMBER($AZ$73),$B$53=1),$AZ$73,HLOOKUP(INDIRECT(ADDRESS(2,COLUMN())),OFFSET($BM$2,0,0,ROW()-1,59),ROW()-1,FALSE))</f>
        <v/>
      </c>
      <c r="BA22" t="str">
        <f ca="1">IF(AND(ISNUMBER($BA$73),$B$53=1),$BA$73,HLOOKUP(INDIRECT(ADDRESS(2,COLUMN())),OFFSET($BM$2,0,0,ROW()-1,59),ROW()-1,FALSE))</f>
        <v/>
      </c>
      <c r="BB22" t="str">
        <f ca="1">IF(AND(ISNUMBER($BB$73),$B$53=1),$BB$73,HLOOKUP(INDIRECT(ADDRESS(2,COLUMN())),OFFSET($BM$2,0,0,ROW()-1,59),ROW()-1,FALSE))</f>
        <v/>
      </c>
      <c r="BC22" t="str">
        <f ca="1">IF(AND(ISNUMBER($BC$73),$B$53=1),$BC$73,HLOOKUP(INDIRECT(ADDRESS(2,COLUMN())),OFFSET($BM$2,0,0,ROW()-1,59),ROW()-1,FALSE))</f>
        <v/>
      </c>
      <c r="BD22" t="str">
        <f ca="1">IF(AND(ISNUMBER($BD$73),$B$53=1),$BD$73,HLOOKUP(INDIRECT(ADDRESS(2,COLUMN())),OFFSET($BM$2,0,0,ROW()-1,59),ROW()-1,FALSE))</f>
        <v/>
      </c>
      <c r="BE22" t="str">
        <f ca="1">IF(AND(ISNUMBER($BE$73),$B$53=1),$BE$73,HLOOKUP(INDIRECT(ADDRESS(2,COLUMN())),OFFSET($BM$2,0,0,ROW()-1,59),ROW()-1,FALSE))</f>
        <v/>
      </c>
      <c r="BF22" t="str">
        <f ca="1">IF(AND(ISNUMBER($BF$73),$B$53=1),$BF$73,HLOOKUP(INDIRECT(ADDRESS(2,COLUMN())),OFFSET($BM$2,0,0,ROW()-1,59),ROW()-1,FALSE))</f>
        <v/>
      </c>
      <c r="BG22" t="str">
        <f ca="1">IF(AND(ISNUMBER($BG$73),$B$53=1),$BG$73,HLOOKUP(INDIRECT(ADDRESS(2,COLUMN())),OFFSET($BM$2,0,0,ROW()-1,59),ROW()-1,FALSE))</f>
        <v/>
      </c>
      <c r="BH22" t="str">
        <f ca="1">IF(AND(ISNUMBER($BH$73),$B$53=1),$BH$73,HLOOKUP(INDIRECT(ADDRESS(2,COLUMN())),OFFSET($BM$2,0,0,ROW()-1,59),ROW()-1,FALSE))</f>
        <v/>
      </c>
      <c r="BI22" t="str">
        <f ca="1">IF(AND(ISNUMBER($BI$73),$B$53=1),$BI$73,HLOOKUP(INDIRECT(ADDRESS(2,COLUMN())),OFFSET($BM$2,0,0,ROW()-1,59),ROW()-1,FALSE))</f>
        <v/>
      </c>
      <c r="BJ22" t="str">
        <f ca="1">IF(AND(ISNUMBER($BJ$73),$B$53=1),$BJ$73,HLOOKUP(INDIRECT(ADDRESS(2,COLUMN())),OFFSET($BM$2,0,0,ROW()-1,59),ROW()-1,FALSE))</f>
        <v/>
      </c>
      <c r="BK22" t="str">
        <f ca="1">IF(AND(ISNUMBER($BK$73),$B$53=1),$BK$73,HLOOKUP(INDIRECT(ADDRESS(2,COLUMN())),OFFSET($BM$2,0,0,ROW()-1,59),ROW()-1,FALSE))</f>
        <v/>
      </c>
      <c r="BL22" t="str">
        <f ca="1">IF(AND(ISNUMBER($BL$73),$B$53=1),$BL$73,HLOOKUP(INDIRECT(ADDRESS(2,COLUMN())),OFFSET($BM$2,0,0,ROW()-1,59),ROW()-1,FALSE))</f>
        <v/>
      </c>
      <c r="BM22">
        <f>22763.17833</f>
        <v>22763.178329999999</v>
      </c>
      <c r="BN22">
        <f>21788.59797</f>
        <v>21788.597969999999</v>
      </c>
      <c r="BO22">
        <f>22876.33356</f>
        <v>22876.333559999999</v>
      </c>
      <c r="BP22">
        <f>20928.83205</f>
        <v>20928.832050000001</v>
      </c>
      <c r="BQ22">
        <f>22144.76387</f>
        <v>22144.763869999999</v>
      </c>
      <c r="BR22">
        <f>21366.09795</f>
        <v>21366.097949999999</v>
      </c>
      <c r="BS22">
        <f>21499.73197</f>
        <v>21499.731970000001</v>
      </c>
      <c r="BT22">
        <f>20286.92994</f>
        <v>20286.929940000002</v>
      </c>
      <c r="BU22">
        <f>21174.09568</f>
        <v>21174.095679999999</v>
      </c>
      <c r="BV22">
        <f>19711.72618</f>
        <v>19711.726180000001</v>
      </c>
      <c r="BW22">
        <f>21218.64305</f>
        <v>21218.643049999999</v>
      </c>
      <c r="BX22">
        <f>18628.85949</f>
        <v>18628.859489999999</v>
      </c>
      <c r="BY22">
        <f>21387.76186</f>
        <v>21387.761859999999</v>
      </c>
      <c r="BZ22">
        <f>20032.71598</f>
        <v>20032.715980000001</v>
      </c>
      <c r="CA22">
        <f>20792.14533</f>
        <v>20792.145329999999</v>
      </c>
      <c r="CB22">
        <f>19014.59154</f>
        <v>19014.591540000001</v>
      </c>
      <c r="CC22">
        <f>21681.0339</f>
        <v>21681.033899999999</v>
      </c>
      <c r="CD22">
        <f>20720.41091</f>
        <v>20720.410909999999</v>
      </c>
      <c r="CE22">
        <f>22112.44624</f>
        <v>22112.446240000001</v>
      </c>
      <c r="CF22">
        <f>20243.33712</f>
        <v>20243.33712</v>
      </c>
      <c r="CG22">
        <f>20655.43526</f>
        <v>20655.435259999998</v>
      </c>
      <c r="CH22">
        <f>18776.68056</f>
        <v>18776.680560000001</v>
      </c>
      <c r="CI22">
        <f>20653.33457</f>
        <v>20653.334569999999</v>
      </c>
      <c r="CJ22">
        <f>19692.00244</f>
        <v>19692.00244</v>
      </c>
      <c r="CK22">
        <f>20844.40271</f>
        <v>20844.402709999998</v>
      </c>
      <c r="CL22">
        <f>17340.68135</f>
        <v>17340.681349999999</v>
      </c>
      <c r="CM22">
        <f>19038.22018</f>
        <v>19038.22018</v>
      </c>
      <c r="CN22">
        <f>17835.25262</f>
        <v>17835.252619999999</v>
      </c>
      <c r="CO22">
        <f>17927.31596</f>
        <v>17927.31596</v>
      </c>
      <c r="CP22">
        <f>17487.99525</f>
        <v>17487.99525</v>
      </c>
      <c r="CQ22">
        <f>18550.0881</f>
        <v>18550.088100000001</v>
      </c>
      <c r="CR22">
        <f>16299.96949</f>
        <v>16299.969489999999</v>
      </c>
      <c r="CS22">
        <f>16366.69716</f>
        <v>16366.69716</v>
      </c>
      <c r="CT22">
        <f>14012.11047</f>
        <v>14012.11047</v>
      </c>
      <c r="CU22">
        <f>14469.94956</f>
        <v>14469.949559999999</v>
      </c>
      <c r="CV22">
        <f>13129.65267</f>
        <v>13129.652669999999</v>
      </c>
      <c r="CW22" t="str">
        <f>""</f>
        <v/>
      </c>
      <c r="CX22" t="str">
        <f>""</f>
        <v/>
      </c>
      <c r="CY22" t="str">
        <f>""</f>
        <v/>
      </c>
      <c r="CZ22" t="str">
        <f>""</f>
        <v/>
      </c>
      <c r="DA22" t="str">
        <f>""</f>
        <v/>
      </c>
      <c r="DB22" t="str">
        <f>""</f>
        <v/>
      </c>
      <c r="DC22" t="str">
        <f>""</f>
        <v/>
      </c>
      <c r="DD22" t="str">
        <f>""</f>
        <v/>
      </c>
      <c r="DE22" t="str">
        <f>""</f>
        <v/>
      </c>
      <c r="DF22" t="str">
        <f>""</f>
        <v/>
      </c>
      <c r="DG22" t="str">
        <f>""</f>
        <v/>
      </c>
      <c r="DH22" t="str">
        <f>""</f>
        <v/>
      </c>
      <c r="DI22" t="str">
        <f>""</f>
        <v/>
      </c>
      <c r="DJ22" t="str">
        <f>""</f>
        <v/>
      </c>
      <c r="DK22" t="str">
        <f>""</f>
        <v/>
      </c>
      <c r="DL22" t="str">
        <f>""</f>
        <v/>
      </c>
      <c r="DM22" t="str">
        <f>""</f>
        <v/>
      </c>
      <c r="DN22" t="str">
        <f>""</f>
        <v/>
      </c>
      <c r="DO22" t="str">
        <f>""</f>
        <v/>
      </c>
      <c r="DP22" t="str">
        <f>""</f>
        <v/>
      </c>
      <c r="DQ22" t="str">
        <f>""</f>
        <v/>
      </c>
      <c r="DR22" t="str">
        <f>""</f>
        <v/>
      </c>
      <c r="DS22" t="str">
        <f>""</f>
        <v/>
      </c>
    </row>
    <row r="23" spans="1:123" x14ac:dyDescent="0.25">
      <c r="A23" t="str">
        <f>"By Geography ($M) - Kia"</f>
        <v>By Geography ($M) - Kia</v>
      </c>
      <c r="B23" t="str">
        <f>"000270 KS Equity"</f>
        <v>000270 KS Equity</v>
      </c>
      <c r="C23" t="str">
        <f>"IS010"</f>
        <v>IS010</v>
      </c>
      <c r="D23" t="str">
        <f>"SALES_REV_TURN"</f>
        <v>SALES_REV_TURN</v>
      </c>
      <c r="E23" t="str">
        <f t="shared" si="1"/>
        <v>Dynamic</v>
      </c>
      <c r="F23">
        <f ca="1">IF(AND(ISNUMBER($F$74),$B$53=1),$F$74,HLOOKUP(INDIRECT(ADDRESS(2,COLUMN())),OFFSET($BM$2,0,0,ROW()-1,59),ROW()-1,FALSE))</f>
        <v>11947.71889</v>
      </c>
      <c r="G23">
        <f ca="1">IF(AND(ISNUMBER($G$74),$B$53=1),$G$74,HLOOKUP(INDIRECT(ADDRESS(2,COLUMN())),OFFSET($BM$2,0,0,ROW()-1,59),ROW()-1,FALSE))</f>
        <v>12550.65569</v>
      </c>
      <c r="H23">
        <f ca="1">IF(AND(ISNUMBER($H$74),$B$53=1),$H$74,HLOOKUP(INDIRECT(ADDRESS(2,COLUMN())),OFFSET($BM$2,0,0,ROW()-1,59),ROW()-1,FALSE))</f>
        <v>13015.811439999999</v>
      </c>
      <c r="I23">
        <f ca="1">IF(AND(ISNUMBER($I$74),$B$53=1),$I$74,HLOOKUP(INDIRECT(ADDRESS(2,COLUMN())),OFFSET($BM$2,0,0,ROW()-1,59),ROW()-1,FALSE))</f>
        <v>11718.025540000001</v>
      </c>
      <c r="J23">
        <f ca="1">IF(AND(ISNUMBER($J$74),$B$53=1),$J$74,HLOOKUP(INDIRECT(ADDRESS(2,COLUMN())),OFFSET($BM$2,0,0,ROW()-1,59),ROW()-1,FALSE))</f>
        <v>11754.983389999999</v>
      </c>
      <c r="K23">
        <f ca="1">IF(AND(ISNUMBER($K$74),$B$53=1),$K$74,HLOOKUP(INDIRECT(ADDRESS(2,COLUMN())),OFFSET($BM$2,0,0,ROW()-1,59),ROW()-1,FALSE))</f>
        <v>12454.97826</v>
      </c>
      <c r="L23">
        <f ca="1">IF(AND(ISNUMBER($L$74),$B$53=1),$L$74,HLOOKUP(INDIRECT(ADDRESS(2,COLUMN())),OFFSET($BM$2,0,0,ROW()-1,59),ROW()-1,FALSE))</f>
        <v>12009.74416</v>
      </c>
      <c r="M23">
        <f ca="1">IF(AND(ISNUMBER($M$74),$B$53=1),$M$74,HLOOKUP(INDIRECT(ADDRESS(2,COLUMN())),OFFSET($BM$2,0,0,ROW()-1,59),ROW()-1,FALSE))</f>
        <v>11151.402700000001</v>
      </c>
      <c r="N23">
        <f ca="1">IF(AND(ISNUMBER($N$74),$B$53=1),$N$74,HLOOKUP(INDIRECT(ADDRESS(2,COLUMN())),OFFSET($BM$2,0,0,ROW()-1,59),ROW()-1,FALSE))</f>
        <v>11144.229859999999</v>
      </c>
      <c r="O23">
        <f ca="1">IF(AND(ISNUMBER($O$74),$B$53=1),$O$74,HLOOKUP(INDIRECT(ADDRESS(2,COLUMN())),OFFSET($BM$2,0,0,ROW()-1,59),ROW()-1,FALSE))</f>
        <v>11334.907310000001</v>
      </c>
      <c r="P23">
        <f ca="1">IF(AND(ISNUMBER($P$74),$B$53=1),$P$74,HLOOKUP(INDIRECT(ADDRESS(2,COLUMN())),OFFSET($BM$2,0,0,ROW()-1,59),ROW()-1,FALSE))</f>
        <v>12425.02709</v>
      </c>
      <c r="Q23">
        <f ca="1">IF(AND(ISNUMBER($Q$74),$B$53=1),$Q$74,HLOOKUP(INDIRECT(ADDRESS(2,COLUMN())),OFFSET($BM$2,0,0,ROW()-1,59),ROW()-1,FALSE))</f>
        <v>10543.02916</v>
      </c>
      <c r="R23">
        <f ca="1">IF(AND(ISNUMBER($R$74),$B$53=1),$R$74,HLOOKUP(INDIRECT(ADDRESS(2,COLUMN())),OFFSET($BM$2,0,0,ROW()-1,59),ROW()-1,FALSE))</f>
        <v>11047.439050000001</v>
      </c>
      <c r="S23">
        <f ca="1">IF(AND(ISNUMBER($S$74),$B$53=1),$S$74,HLOOKUP(INDIRECT(ADDRESS(2,COLUMN())),OFFSET($BM$2,0,0,ROW()-1,59),ROW()-1,FALSE))</f>
        <v>11210.05775</v>
      </c>
      <c r="T23">
        <f ca="1">IF(AND(ISNUMBER($T$74),$B$53=1),$T$74,HLOOKUP(INDIRECT(ADDRESS(2,COLUMN())),OFFSET($BM$2,0,0,ROW()-1,59),ROW()-1,FALSE))</f>
        <v>11334.74604</v>
      </c>
      <c r="U23">
        <f ca="1">IF(AND(ISNUMBER($U$74),$B$53=1),$U$74,HLOOKUP(INDIRECT(ADDRESS(2,COLUMN())),OFFSET($BM$2,0,0,ROW()-1,59),ROW()-1,FALSE))</f>
        <v>10148.55883</v>
      </c>
      <c r="V23">
        <f ca="1">IF(AND(ISNUMBER($V$74),$B$53=1),$V$74,HLOOKUP(INDIRECT(ADDRESS(2,COLUMN())),OFFSET($BM$2,0,0,ROW()-1,59),ROW()-1,FALSE))</f>
        <v>10762.17295</v>
      </c>
      <c r="W23">
        <f ca="1">IF(AND(ISNUMBER($W$74),$B$53=1),$W$74,HLOOKUP(INDIRECT(ADDRESS(2,COLUMN())),OFFSET($BM$2,0,0,ROW()-1,59),ROW()-1,FALSE))</f>
        <v>11114.407660000001</v>
      </c>
      <c r="X23">
        <f ca="1">IF(AND(ISNUMBER($X$74),$B$53=1),$X$74,HLOOKUP(INDIRECT(ADDRESS(2,COLUMN())),OFFSET($BM$2,0,0,ROW()-1,59),ROW()-1,FALSE))</f>
        <v>11715.326880000001</v>
      </c>
      <c r="Y23">
        <f ca="1">IF(AND(ISNUMBER($Y$74),$B$53=1),$Y$74,HLOOKUP(INDIRECT(ADDRESS(2,COLUMN())),OFFSET($BM$2,0,0,ROW()-1,59),ROW()-1,FALSE))</f>
        <v>11151.461880000001</v>
      </c>
      <c r="Z23">
        <f ca="1">IF(AND(ISNUMBER($Z$74),$B$53=1),$Z$74,HLOOKUP(INDIRECT(ADDRESS(2,COLUMN())),OFFSET($BM$2,0,0,ROW()-1,59),ROW()-1,FALSE))</f>
        <v>11078.83986</v>
      </c>
      <c r="AA23">
        <f ca="1">IF(AND(ISNUMBER($AA$74),$B$53=1),$AA$74,HLOOKUP(INDIRECT(ADDRESS(2,COLUMN())),OFFSET($BM$2,0,0,ROW()-1,59),ROW()-1,FALSE))</f>
        <v>10492.3824</v>
      </c>
      <c r="AB23">
        <f ca="1">IF(AND(ISNUMBER($AB$74),$B$53=1),$AB$74,HLOOKUP(INDIRECT(ADDRESS(2,COLUMN())),OFFSET($BM$2,0,0,ROW()-1,59),ROW()-1,FALSE))</f>
        <v>11681.57192</v>
      </c>
      <c r="AC23">
        <f ca="1">IF(AND(ISNUMBER($AC$74),$B$53=1),$AC$74,HLOOKUP(INDIRECT(ADDRESS(2,COLUMN())),OFFSET($BM$2,0,0,ROW()-1,59),ROW()-1,FALSE))</f>
        <v>10215.831889999999</v>
      </c>
      <c r="AD23">
        <f ca="1">IF(AND(ISNUMBER($AD$74),$B$53=1),$AD$74,HLOOKUP(INDIRECT(ADDRESS(2,COLUMN())),OFFSET($BM$2,0,0,ROW()-1,59),ROW()-1,FALSE))</f>
        <v>10346.54983</v>
      </c>
      <c r="AE23">
        <f ca="1">IF(AND(ISNUMBER($AE$74),$B$53=1),$AE$74,HLOOKUP(INDIRECT(ADDRESS(2,COLUMN())),OFFSET($BM$2,0,0,ROW()-1,59),ROW()-1,FALSE))</f>
        <v>10261.07199</v>
      </c>
      <c r="AF23">
        <f ca="1">IF(AND(ISNUMBER($AF$74),$B$53=1),$AF$74,HLOOKUP(INDIRECT(ADDRESS(2,COLUMN())),OFFSET($BM$2,0,0,ROW()-1,59),ROW()-1,FALSE))</f>
        <v>10890.79974</v>
      </c>
      <c r="AG23">
        <f ca="1">IF(AND(ISNUMBER($AG$74),$B$53=1),$AG$74,HLOOKUP(INDIRECT(ADDRESS(2,COLUMN())),OFFSET($BM$2,0,0,ROW()-1,59),ROW()-1,FALSE))</f>
        <v>10427.92751</v>
      </c>
      <c r="AH23">
        <f ca="1">IF(AND(ISNUMBER($AH$74),$B$53=1),$AH$74,HLOOKUP(INDIRECT(ADDRESS(2,COLUMN())),OFFSET($BM$2,0,0,ROW()-1,59),ROW()-1,FALSE))</f>
        <v>9577.9693939999997</v>
      </c>
      <c r="AI23">
        <f ca="1">IF(AND(ISNUMBER($AI$74),$B$53=1),$AI$74,HLOOKUP(INDIRECT(ADDRESS(2,COLUMN())),OFFSET($BM$2,0,0,ROW()-1,59),ROW()-1,FALSE))</f>
        <v>9217.3230999999996</v>
      </c>
      <c r="AJ23">
        <f ca="1">IF(AND(ISNUMBER($AJ$74),$B$53=1),$AJ$74,HLOOKUP(INDIRECT(ADDRESS(2,COLUMN())),OFFSET($BM$2,0,0,ROW()-1,59),ROW()-1,FALSE))</f>
        <v>10692.02081</v>
      </c>
      <c r="AK23">
        <f ca="1">IF(AND(ISNUMBER($AK$74),$B$53=1),$AK$74,HLOOKUP(INDIRECT(ADDRESS(2,COLUMN())),OFFSET($BM$2,0,0,ROW()-1,59),ROW()-1,FALSE))</f>
        <v>9527.7143340000002</v>
      </c>
      <c r="AL23">
        <f ca="1">IF(AND(ISNUMBER($AL$74),$B$53=1),$AL$74,HLOOKUP(INDIRECT(ADDRESS(2,COLUMN())),OFFSET($BM$2,0,0,ROW()-1,59),ROW()-1,FALSE))</f>
        <v>8903.0238379999992</v>
      </c>
      <c r="AM23">
        <f ca="1">IF(AND(ISNUMBER($AM$74),$B$53=1),$AM$74,HLOOKUP(INDIRECT(ADDRESS(2,COLUMN())),OFFSET($BM$2,0,0,ROW()-1,59),ROW()-1,FALSE))</f>
        <v>7360.3727010000002</v>
      </c>
      <c r="AN23">
        <f ca="1">IF(AND(ISNUMBER($AN$74),$B$53=1),$AN$74,HLOOKUP(INDIRECT(ADDRESS(2,COLUMN())),OFFSET($BM$2,0,0,ROW()-1,59),ROW()-1,FALSE))</f>
        <v>7935.2179610000003</v>
      </c>
      <c r="AO23">
        <f ca="1">IF(AND(ISNUMBER($AO$74),$B$53=1),$AO$74,HLOOKUP(INDIRECT(ADDRESS(2,COLUMN())),OFFSET($BM$2,0,0,ROW()-1,59),ROW()-1,FALSE))</f>
        <v>6813.1380300000001</v>
      </c>
      <c r="AP23" t="str">
        <f ca="1">IF(AND(ISNUMBER($AP$74),$B$53=1),$AP$74,HLOOKUP(INDIRECT(ADDRESS(2,COLUMN())),OFFSET($BM$2,0,0,ROW()-1,59),ROW()-1,FALSE))</f>
        <v/>
      </c>
      <c r="AQ23" t="str">
        <f ca="1">IF(AND(ISNUMBER($AQ$74),$B$53=1),$AQ$74,HLOOKUP(INDIRECT(ADDRESS(2,COLUMN())),OFFSET($BM$2,0,0,ROW()-1,59),ROW()-1,FALSE))</f>
        <v/>
      </c>
      <c r="AR23" t="str">
        <f ca="1">IF(AND(ISNUMBER($AR$74),$B$53=1),$AR$74,HLOOKUP(INDIRECT(ADDRESS(2,COLUMN())),OFFSET($BM$2,0,0,ROW()-1,59),ROW()-1,FALSE))</f>
        <v/>
      </c>
      <c r="AS23" t="str">
        <f ca="1">IF(AND(ISNUMBER($AS$74),$B$53=1),$AS$74,HLOOKUP(INDIRECT(ADDRESS(2,COLUMN())),OFFSET($BM$2,0,0,ROW()-1,59),ROW()-1,FALSE))</f>
        <v/>
      </c>
      <c r="AT23" t="str">
        <f ca="1">IF(AND(ISNUMBER($AT$74),$B$53=1),$AT$74,HLOOKUP(INDIRECT(ADDRESS(2,COLUMN())),OFFSET($BM$2,0,0,ROW()-1,59),ROW()-1,FALSE))</f>
        <v/>
      </c>
      <c r="AU23" t="str">
        <f ca="1">IF(AND(ISNUMBER($AU$74),$B$53=1),$AU$74,HLOOKUP(INDIRECT(ADDRESS(2,COLUMN())),OFFSET($BM$2,0,0,ROW()-1,59),ROW()-1,FALSE))</f>
        <v/>
      </c>
      <c r="AV23" t="str">
        <f ca="1">IF(AND(ISNUMBER($AV$74),$B$53=1),$AV$74,HLOOKUP(INDIRECT(ADDRESS(2,COLUMN())),OFFSET($BM$2,0,0,ROW()-1,59),ROW()-1,FALSE))</f>
        <v/>
      </c>
      <c r="AW23" t="str">
        <f ca="1">IF(AND(ISNUMBER($AW$74),$B$53=1),$AW$74,HLOOKUP(INDIRECT(ADDRESS(2,COLUMN())),OFFSET($BM$2,0,0,ROW()-1,59),ROW()-1,FALSE))</f>
        <v/>
      </c>
      <c r="AX23" t="str">
        <f ca="1">IF(AND(ISNUMBER($AX$74),$B$53=1),$AX$74,HLOOKUP(INDIRECT(ADDRESS(2,COLUMN())),OFFSET($BM$2,0,0,ROW()-1,59),ROW()-1,FALSE))</f>
        <v/>
      </c>
      <c r="AY23" t="str">
        <f ca="1">IF(AND(ISNUMBER($AY$74),$B$53=1),$AY$74,HLOOKUP(INDIRECT(ADDRESS(2,COLUMN())),OFFSET($BM$2,0,0,ROW()-1,59),ROW()-1,FALSE))</f>
        <v/>
      </c>
      <c r="AZ23" t="str">
        <f ca="1">IF(AND(ISNUMBER($AZ$74),$B$53=1),$AZ$74,HLOOKUP(INDIRECT(ADDRESS(2,COLUMN())),OFFSET($BM$2,0,0,ROW()-1,59),ROW()-1,FALSE))</f>
        <v/>
      </c>
      <c r="BA23" t="str">
        <f ca="1">IF(AND(ISNUMBER($BA$74),$B$53=1),$BA$74,HLOOKUP(INDIRECT(ADDRESS(2,COLUMN())),OFFSET($BM$2,0,0,ROW()-1,59),ROW()-1,FALSE))</f>
        <v/>
      </c>
      <c r="BB23" t="str">
        <f ca="1">IF(AND(ISNUMBER($BB$74),$B$53=1),$BB$74,HLOOKUP(INDIRECT(ADDRESS(2,COLUMN())),OFFSET($BM$2,0,0,ROW()-1,59),ROW()-1,FALSE))</f>
        <v/>
      </c>
      <c r="BC23" t="str">
        <f ca="1">IF(AND(ISNUMBER($BC$74),$B$53=1),$BC$74,HLOOKUP(INDIRECT(ADDRESS(2,COLUMN())),OFFSET($BM$2,0,0,ROW()-1,59),ROW()-1,FALSE))</f>
        <v/>
      </c>
      <c r="BD23" t="str">
        <f ca="1">IF(AND(ISNUMBER($BD$74),$B$53=1),$BD$74,HLOOKUP(INDIRECT(ADDRESS(2,COLUMN())),OFFSET($BM$2,0,0,ROW()-1,59),ROW()-1,FALSE))</f>
        <v/>
      </c>
      <c r="BE23" t="str">
        <f ca="1">IF(AND(ISNUMBER($BE$74),$B$53=1),$BE$74,HLOOKUP(INDIRECT(ADDRESS(2,COLUMN())),OFFSET($BM$2,0,0,ROW()-1,59),ROW()-1,FALSE))</f>
        <v/>
      </c>
      <c r="BF23" t="str">
        <f ca="1">IF(AND(ISNUMBER($BF$74),$B$53=1),$BF$74,HLOOKUP(INDIRECT(ADDRESS(2,COLUMN())),OFFSET($BM$2,0,0,ROW()-1,59),ROW()-1,FALSE))</f>
        <v/>
      </c>
      <c r="BG23" t="str">
        <f ca="1">IF(AND(ISNUMBER($BG$74),$B$53=1),$BG$74,HLOOKUP(INDIRECT(ADDRESS(2,COLUMN())),OFFSET($BM$2,0,0,ROW()-1,59),ROW()-1,FALSE))</f>
        <v/>
      </c>
      <c r="BH23" t="str">
        <f ca="1">IF(AND(ISNUMBER($BH$74),$B$53=1),$BH$74,HLOOKUP(INDIRECT(ADDRESS(2,COLUMN())),OFFSET($BM$2,0,0,ROW()-1,59),ROW()-1,FALSE))</f>
        <v/>
      </c>
      <c r="BI23" t="str">
        <f ca="1">IF(AND(ISNUMBER($BI$74),$B$53=1),$BI$74,HLOOKUP(INDIRECT(ADDRESS(2,COLUMN())),OFFSET($BM$2,0,0,ROW()-1,59),ROW()-1,FALSE))</f>
        <v/>
      </c>
      <c r="BJ23" t="str">
        <f ca="1">IF(AND(ISNUMBER($BJ$74),$B$53=1),$BJ$74,HLOOKUP(INDIRECT(ADDRESS(2,COLUMN())),OFFSET($BM$2,0,0,ROW()-1,59),ROW()-1,FALSE))</f>
        <v/>
      </c>
      <c r="BK23" t="str">
        <f ca="1">IF(AND(ISNUMBER($BK$74),$B$53=1),$BK$74,HLOOKUP(INDIRECT(ADDRESS(2,COLUMN())),OFFSET($BM$2,0,0,ROW()-1,59),ROW()-1,FALSE))</f>
        <v/>
      </c>
      <c r="BL23" t="str">
        <f ca="1">IF(AND(ISNUMBER($BL$74),$B$53=1),$BL$74,HLOOKUP(INDIRECT(ADDRESS(2,COLUMN())),OFFSET($BM$2,0,0,ROW()-1,59),ROW()-1,FALSE))</f>
        <v/>
      </c>
      <c r="BM23">
        <f>11947.71889</f>
        <v>11947.71889</v>
      </c>
      <c r="BN23">
        <f>12550.65569</f>
        <v>12550.65569</v>
      </c>
      <c r="BO23">
        <f>13015.81144</f>
        <v>13015.811439999999</v>
      </c>
      <c r="BP23">
        <f>11718.02554</f>
        <v>11718.025540000001</v>
      </c>
      <c r="BQ23">
        <f>11754.98339</f>
        <v>11754.983389999999</v>
      </c>
      <c r="BR23">
        <f>12454.97826</f>
        <v>12454.97826</v>
      </c>
      <c r="BS23">
        <f>12009.74416</f>
        <v>12009.74416</v>
      </c>
      <c r="BT23">
        <f>11151.4027</f>
        <v>11151.402700000001</v>
      </c>
      <c r="BU23">
        <f>11144.22986</f>
        <v>11144.229859999999</v>
      </c>
      <c r="BV23">
        <f>11334.90731</f>
        <v>11334.907310000001</v>
      </c>
      <c r="BW23">
        <f>12425.02709</f>
        <v>12425.02709</v>
      </c>
      <c r="BX23">
        <f>10543.02916</f>
        <v>10543.02916</v>
      </c>
      <c r="BY23">
        <f>11047.43905</f>
        <v>11047.439050000001</v>
      </c>
      <c r="BZ23">
        <f>11210.05775</f>
        <v>11210.05775</v>
      </c>
      <c r="CA23">
        <f>11334.74604</f>
        <v>11334.74604</v>
      </c>
      <c r="CB23">
        <f>10148.55883</f>
        <v>10148.55883</v>
      </c>
      <c r="CC23">
        <f>10762.17295</f>
        <v>10762.17295</v>
      </c>
      <c r="CD23">
        <f>11114.40766</f>
        <v>11114.407660000001</v>
      </c>
      <c r="CE23">
        <f>11715.32688</f>
        <v>11715.326880000001</v>
      </c>
      <c r="CF23">
        <f>11151.46188</f>
        <v>11151.461880000001</v>
      </c>
      <c r="CG23">
        <f>11078.83986</f>
        <v>11078.83986</v>
      </c>
      <c r="CH23">
        <f>10492.3824</f>
        <v>10492.3824</v>
      </c>
      <c r="CI23">
        <f>11681.57192</f>
        <v>11681.57192</v>
      </c>
      <c r="CJ23">
        <f>10215.83189</f>
        <v>10215.831889999999</v>
      </c>
      <c r="CK23">
        <f>10346.54983</f>
        <v>10346.54983</v>
      </c>
      <c r="CL23">
        <f>10261.07199</f>
        <v>10261.07199</v>
      </c>
      <c r="CM23">
        <f>10890.79974</f>
        <v>10890.79974</v>
      </c>
      <c r="CN23">
        <f>10427.92751</f>
        <v>10427.92751</v>
      </c>
      <c r="CO23">
        <f>9577.969394</f>
        <v>9577.9693939999997</v>
      </c>
      <c r="CP23">
        <f>9217.3231</f>
        <v>9217.3230999999996</v>
      </c>
      <c r="CQ23">
        <f>10692.02081</f>
        <v>10692.02081</v>
      </c>
      <c r="CR23">
        <f>9527.714334</f>
        <v>9527.7143340000002</v>
      </c>
      <c r="CS23">
        <f>8903.023838</f>
        <v>8903.0238379999992</v>
      </c>
      <c r="CT23">
        <f>7360.372701</f>
        <v>7360.3727010000002</v>
      </c>
      <c r="CU23">
        <f>7935.217961</f>
        <v>7935.2179610000003</v>
      </c>
      <c r="CV23">
        <f>6813.13803</f>
        <v>6813.1380300000001</v>
      </c>
      <c r="CW23" t="str">
        <f>""</f>
        <v/>
      </c>
      <c r="CX23" t="str">
        <f>""</f>
        <v/>
      </c>
      <c r="CY23" t="str">
        <f>""</f>
        <v/>
      </c>
      <c r="CZ23" t="str">
        <f>""</f>
        <v/>
      </c>
      <c r="DA23" t="str">
        <f>""</f>
        <v/>
      </c>
      <c r="DB23" t="str">
        <f>""</f>
        <v/>
      </c>
      <c r="DC23" t="str">
        <f>""</f>
        <v/>
      </c>
      <c r="DD23" t="str">
        <f>""</f>
        <v/>
      </c>
      <c r="DE23" t="str">
        <f>""</f>
        <v/>
      </c>
      <c r="DF23" t="str">
        <f>""</f>
        <v/>
      </c>
      <c r="DG23" t="str">
        <f>""</f>
        <v/>
      </c>
      <c r="DH23" t="str">
        <f>""</f>
        <v/>
      </c>
      <c r="DI23" t="str">
        <f>""</f>
        <v/>
      </c>
      <c r="DJ23" t="str">
        <f>""</f>
        <v/>
      </c>
      <c r="DK23" t="str">
        <f>""</f>
        <v/>
      </c>
      <c r="DL23" t="str">
        <f>""</f>
        <v/>
      </c>
      <c r="DM23" t="str">
        <f>""</f>
        <v/>
      </c>
      <c r="DN23" t="str">
        <f>""</f>
        <v/>
      </c>
      <c r="DO23" t="str">
        <f>""</f>
        <v/>
      </c>
      <c r="DP23" t="str">
        <f>""</f>
        <v/>
      </c>
      <c r="DQ23" t="str">
        <f>""</f>
        <v/>
      </c>
      <c r="DR23" t="str">
        <f>""</f>
        <v/>
      </c>
      <c r="DS23" t="str">
        <f>""</f>
        <v/>
      </c>
    </row>
    <row r="24" spans="1:123" x14ac:dyDescent="0.25">
      <c r="A24" t="str">
        <f>"        North America"</f>
        <v xml:space="preserve">        North America</v>
      </c>
      <c r="B24" t="str">
        <f>"000270 KS Equity"</f>
        <v>000270 KS Equity</v>
      </c>
      <c r="C24" t="str">
        <f>"BI047"</f>
        <v>BI047</v>
      </c>
      <c r="D24" t="str">
        <f>"BICS_SEGMENT_DATA"</f>
        <v>BICS_SEGMENT_DATA</v>
      </c>
      <c r="E24" t="str">
        <f t="shared" si="1"/>
        <v>Dynamic</v>
      </c>
      <c r="F24">
        <f ca="1">IF(AND(ISNUMBER($F$75),$B$53=1),$F$75,HLOOKUP(INDIRECT(ADDRESS(2,COLUMN())),OFFSET($BM$2,0,0,ROW()-1,59),ROW()-1,FALSE))</f>
        <v>3259.9582519999999</v>
      </c>
      <c r="G24">
        <f ca="1">IF(AND(ISNUMBER($G$75),$B$53=1),$G$75,HLOOKUP(INDIRECT(ADDRESS(2,COLUMN())),OFFSET($BM$2,0,0,ROW()-1,59),ROW()-1,FALSE))</f>
        <v>4742.412816</v>
      </c>
      <c r="H24">
        <f ca="1">IF(AND(ISNUMBER($H$75),$B$53=1),$H$75,HLOOKUP(INDIRECT(ADDRESS(2,COLUMN())),OFFSET($BM$2,0,0,ROW()-1,59),ROW()-1,FALSE))</f>
        <v>4299.2336530000002</v>
      </c>
      <c r="I24">
        <f ca="1">IF(AND(ISNUMBER($I$75),$B$53=1),$I$75,HLOOKUP(INDIRECT(ADDRESS(2,COLUMN())),OFFSET($BM$2,0,0,ROW()-1,59),ROW()-1,FALSE))</f>
        <v>4124.2666950000003</v>
      </c>
      <c r="J24">
        <f ca="1">IF(AND(ISNUMBER($J$75),$B$53=1),$J$75,HLOOKUP(INDIRECT(ADDRESS(2,COLUMN())),OFFSET($BM$2,0,0,ROW()-1,59),ROW()-1,FALSE))</f>
        <v>4236.4680859999999</v>
      </c>
      <c r="K24">
        <f ca="1">IF(AND(ISNUMBER($K$75),$B$53=1),$K$75,HLOOKUP(INDIRECT(ADDRESS(2,COLUMN())),OFFSET($BM$2,0,0,ROW()-1,59),ROW()-1,FALSE))</f>
        <v>4837.9844940000003</v>
      </c>
      <c r="L24">
        <f ca="1">IF(AND(ISNUMBER($L$75),$B$53=1),$L$75,HLOOKUP(INDIRECT(ADDRESS(2,COLUMN())),OFFSET($BM$2,0,0,ROW()-1,59),ROW()-1,FALSE))</f>
        <v>4509.1686289999998</v>
      </c>
      <c r="M24">
        <f ca="1">IF(AND(ISNUMBER($M$75),$B$53=1),$M$75,HLOOKUP(INDIRECT(ADDRESS(2,COLUMN())),OFFSET($BM$2,0,0,ROW()-1,59),ROW()-1,FALSE))</f>
        <v>4177.0537329999997</v>
      </c>
      <c r="N24">
        <f ca="1">IF(AND(ISNUMBER($N$75),$B$53=1),$N$75,HLOOKUP(INDIRECT(ADDRESS(2,COLUMN())),OFFSET($BM$2,0,0,ROW()-1,59),ROW()-1,FALSE))</f>
        <v>3778.5865669999998</v>
      </c>
      <c r="O24">
        <f ca="1">IF(AND(ISNUMBER($O$75),$B$53=1),$O$75,HLOOKUP(INDIRECT(ADDRESS(2,COLUMN())),OFFSET($BM$2,0,0,ROW()-1,59),ROW()-1,FALSE))</f>
        <v>4622.112717</v>
      </c>
      <c r="P24">
        <f ca="1">IF(AND(ISNUMBER($P$75),$B$53=1),$P$75,HLOOKUP(INDIRECT(ADDRESS(2,COLUMN())),OFFSET($BM$2,0,0,ROW()-1,59),ROW()-1,FALSE))</f>
        <v>4869.5568089999997</v>
      </c>
      <c r="Q24">
        <f ca="1">IF(AND(ISNUMBER($Q$75),$B$53=1),$Q$75,HLOOKUP(INDIRECT(ADDRESS(2,COLUMN())),OFFSET($BM$2,0,0,ROW()-1,59),ROW()-1,FALSE))</f>
        <v>4057.78325</v>
      </c>
      <c r="R24">
        <f ca="1">IF(AND(ISNUMBER($R$75),$B$53=1),$R$75,HLOOKUP(INDIRECT(ADDRESS(2,COLUMN())),OFFSET($BM$2,0,0,ROW()-1,59),ROW()-1,FALSE))</f>
        <v>3940.434096</v>
      </c>
      <c r="S24">
        <f ca="1">IF(AND(ISNUMBER($S$75),$B$53=1),$S$75,HLOOKUP(INDIRECT(ADDRESS(2,COLUMN())),OFFSET($BM$2,0,0,ROW()-1,59),ROW()-1,FALSE))</f>
        <v>4679.1609740000004</v>
      </c>
      <c r="T24">
        <f ca="1">IF(AND(ISNUMBER($T$75),$B$53=1),$T$75,HLOOKUP(INDIRECT(ADDRESS(2,COLUMN())),OFFSET($BM$2,0,0,ROW()-1,59),ROW()-1,FALSE))</f>
        <v>4331.7756369999997</v>
      </c>
      <c r="U24">
        <f ca="1">IF(AND(ISNUMBER($U$75),$B$53=1),$U$75,HLOOKUP(INDIRECT(ADDRESS(2,COLUMN())),OFFSET($BM$2,0,0,ROW()-1,59),ROW()-1,FALSE))</f>
        <v>3685.3328019999999</v>
      </c>
      <c r="V24">
        <f ca="1">IF(AND(ISNUMBER($V$75),$B$53=1),$V$75,HLOOKUP(INDIRECT(ADDRESS(2,COLUMN())),OFFSET($BM$2,0,0,ROW()-1,59),ROW()-1,FALSE))</f>
        <v>3439.3931550000002</v>
      </c>
      <c r="W24">
        <f ca="1">IF(AND(ISNUMBER($W$75),$B$53=1),$W$75,HLOOKUP(INDIRECT(ADDRESS(2,COLUMN())),OFFSET($BM$2,0,0,ROW()-1,59),ROW()-1,FALSE))</f>
        <v>4333.3772609999996</v>
      </c>
      <c r="X24">
        <f ca="1">IF(AND(ISNUMBER($X$75),$B$53=1),$X$75,HLOOKUP(INDIRECT(ADDRESS(2,COLUMN())),OFFSET($BM$2,0,0,ROW()-1,59),ROW()-1,FALSE))</f>
        <v>4241.9833470000003</v>
      </c>
      <c r="Y24">
        <f ca="1">IF(AND(ISNUMBER($Y$75),$B$53=1),$Y$75,HLOOKUP(INDIRECT(ADDRESS(2,COLUMN())),OFFSET($BM$2,0,0,ROW()-1,59),ROW()-1,FALSE))</f>
        <v>4031.0533500000001</v>
      </c>
      <c r="Z24">
        <f ca="1">IF(AND(ISNUMBER($Z$75),$B$53=1),$Z$75,HLOOKUP(INDIRECT(ADDRESS(2,COLUMN())),OFFSET($BM$2,0,0,ROW()-1,59),ROW()-1,FALSE))</f>
        <v>3640.0312119999999</v>
      </c>
      <c r="AA24">
        <f ca="1">IF(AND(ISNUMBER($AA$75),$B$53=1),$AA$75,HLOOKUP(INDIRECT(ADDRESS(2,COLUMN())),OFFSET($BM$2,0,0,ROW()-1,59),ROW()-1,FALSE))</f>
        <v>3862.2945020000002</v>
      </c>
      <c r="AB24">
        <f ca="1">IF(AND(ISNUMBER($AB$75),$B$53=1),$AB$75,HLOOKUP(INDIRECT(ADDRESS(2,COLUMN())),OFFSET($BM$2,0,0,ROW()-1,59),ROW()-1,FALSE))</f>
        <v>4403.1800409999996</v>
      </c>
      <c r="AC24">
        <f ca="1">IF(AND(ISNUMBER($AC$75),$B$53=1),$AC$75,HLOOKUP(INDIRECT(ADDRESS(2,COLUMN())),OFFSET($BM$2,0,0,ROW()-1,59),ROW()-1,FALSE))</f>
        <v>3680.7529089999998</v>
      </c>
      <c r="AD24">
        <f ca="1">IF(AND(ISNUMBER($AD$75),$B$53=1),$AD$75,HLOOKUP(INDIRECT(ADDRESS(2,COLUMN())),OFFSET($BM$2,0,0,ROW()-1,59),ROW()-1,FALSE))</f>
        <v>3369.9853699999999</v>
      </c>
      <c r="AE24">
        <f ca="1">IF(AND(ISNUMBER($AE$75),$B$53=1),$AE$75,HLOOKUP(INDIRECT(ADDRESS(2,COLUMN())),OFFSET($BM$2,0,0,ROW()-1,59),ROW()-1,FALSE))</f>
        <v>4113.998388</v>
      </c>
      <c r="AF24">
        <f ca="1">IF(AND(ISNUMBER($AF$75),$B$53=1),$AF$75,HLOOKUP(INDIRECT(ADDRESS(2,COLUMN())),OFFSET($BM$2,0,0,ROW()-1,59),ROW()-1,FALSE))</f>
        <v>3877.9336790000002</v>
      </c>
      <c r="AG24">
        <f ca="1">IF(AND(ISNUMBER($AG$75),$B$53=1),$AG$75,HLOOKUP(INDIRECT(ADDRESS(2,COLUMN())),OFFSET($BM$2,0,0,ROW()-1,59),ROW()-1,FALSE))</f>
        <v>3534.8611470000001</v>
      </c>
      <c r="AH24">
        <f ca="1">IF(AND(ISNUMBER($AH$75),$B$53=1),$AH$75,HLOOKUP(INDIRECT(ADDRESS(2,COLUMN())),OFFSET($BM$2,0,0,ROW()-1,59),ROW()-1,FALSE))</f>
        <v>3058.3944240000001</v>
      </c>
      <c r="AI24">
        <f ca="1">IF(AND(ISNUMBER($AI$75),$B$53=1),$AI$75,HLOOKUP(INDIRECT(ADDRESS(2,COLUMN())),OFFSET($BM$2,0,0,ROW()-1,59),ROW()-1,FALSE))</f>
        <v>3166.3185490000001</v>
      </c>
      <c r="AJ24">
        <f ca="1">IF(AND(ISNUMBER($AJ$75),$B$53=1),$AJ$75,HLOOKUP(INDIRECT(ADDRESS(2,COLUMN())),OFFSET($BM$2,0,0,ROW()-1,59),ROW()-1,FALSE))</f>
        <v>3248.7243560000002</v>
      </c>
      <c r="AK24">
        <f ca="1">IF(AND(ISNUMBER($AK$75),$B$53=1),$AK$75,HLOOKUP(INDIRECT(ADDRESS(2,COLUMN())),OFFSET($BM$2,0,0,ROW()-1,59),ROW()-1,FALSE))</f>
        <v>2900.7488969999999</v>
      </c>
      <c r="AL24" t="str">
        <f ca="1">IF(AND(ISNUMBER($AL$75),$B$53=1),$AL$75,HLOOKUP(INDIRECT(ADDRESS(2,COLUMN())),OFFSET($BM$2,0,0,ROW()-1,59),ROW()-1,FALSE))</f>
        <v/>
      </c>
      <c r="AM24" t="str">
        <f ca="1">IF(AND(ISNUMBER($AM$75),$B$53=1),$AM$75,HLOOKUP(INDIRECT(ADDRESS(2,COLUMN())),OFFSET($BM$2,0,0,ROW()-1,59),ROW()-1,FALSE))</f>
        <v/>
      </c>
      <c r="AN24" t="str">
        <f ca="1">IF(AND(ISNUMBER($AN$75),$B$53=1),$AN$75,HLOOKUP(INDIRECT(ADDRESS(2,COLUMN())),OFFSET($BM$2,0,0,ROW()-1,59),ROW()-1,FALSE))</f>
        <v/>
      </c>
      <c r="AO24" t="str">
        <f ca="1">IF(AND(ISNUMBER($AO$75),$B$53=1),$AO$75,HLOOKUP(INDIRECT(ADDRESS(2,COLUMN())),OFFSET($BM$2,0,0,ROW()-1,59),ROW()-1,FALSE))</f>
        <v/>
      </c>
      <c r="AP24" t="str">
        <f ca="1">IF(AND(ISNUMBER($AP$75),$B$53=1),$AP$75,HLOOKUP(INDIRECT(ADDRESS(2,COLUMN())),OFFSET($BM$2,0,0,ROW()-1,59),ROW()-1,FALSE))</f>
        <v/>
      </c>
      <c r="AQ24" t="str">
        <f ca="1">IF(AND(ISNUMBER($AQ$75),$B$53=1),$AQ$75,HLOOKUP(INDIRECT(ADDRESS(2,COLUMN())),OFFSET($BM$2,0,0,ROW()-1,59),ROW()-1,FALSE))</f>
        <v/>
      </c>
      <c r="AR24" t="str">
        <f ca="1">IF(AND(ISNUMBER($AR$75),$B$53=1),$AR$75,HLOOKUP(INDIRECT(ADDRESS(2,COLUMN())),OFFSET($BM$2,0,0,ROW()-1,59),ROW()-1,FALSE))</f>
        <v/>
      </c>
      <c r="AS24" t="str">
        <f ca="1">IF(AND(ISNUMBER($AS$75),$B$53=1),$AS$75,HLOOKUP(INDIRECT(ADDRESS(2,COLUMN())),OFFSET($BM$2,0,0,ROW()-1,59),ROW()-1,FALSE))</f>
        <v/>
      </c>
      <c r="AT24" t="str">
        <f ca="1">IF(AND(ISNUMBER($AT$75),$B$53=1),$AT$75,HLOOKUP(INDIRECT(ADDRESS(2,COLUMN())),OFFSET($BM$2,0,0,ROW()-1,59),ROW()-1,FALSE))</f>
        <v/>
      </c>
      <c r="AU24" t="str">
        <f ca="1">IF(AND(ISNUMBER($AU$75),$B$53=1),$AU$75,HLOOKUP(INDIRECT(ADDRESS(2,COLUMN())),OFFSET($BM$2,0,0,ROW()-1,59),ROW()-1,FALSE))</f>
        <v/>
      </c>
      <c r="AV24" t="str">
        <f ca="1">IF(AND(ISNUMBER($AV$75),$B$53=1),$AV$75,HLOOKUP(INDIRECT(ADDRESS(2,COLUMN())),OFFSET($BM$2,0,0,ROW()-1,59),ROW()-1,FALSE))</f>
        <v/>
      </c>
      <c r="AW24" t="str">
        <f ca="1">IF(AND(ISNUMBER($AW$75),$B$53=1),$AW$75,HLOOKUP(INDIRECT(ADDRESS(2,COLUMN())),OFFSET($BM$2,0,0,ROW()-1,59),ROW()-1,FALSE))</f>
        <v/>
      </c>
      <c r="AX24" t="str">
        <f ca="1">IF(AND(ISNUMBER($AX$75),$B$53=1),$AX$75,HLOOKUP(INDIRECT(ADDRESS(2,COLUMN())),OFFSET($BM$2,0,0,ROW()-1,59),ROW()-1,FALSE))</f>
        <v/>
      </c>
      <c r="AY24" t="str">
        <f ca="1">IF(AND(ISNUMBER($AY$75),$B$53=1),$AY$75,HLOOKUP(INDIRECT(ADDRESS(2,COLUMN())),OFFSET($BM$2,0,0,ROW()-1,59),ROW()-1,FALSE))</f>
        <v/>
      </c>
      <c r="AZ24" t="str">
        <f ca="1">IF(AND(ISNUMBER($AZ$75),$B$53=1),$AZ$75,HLOOKUP(INDIRECT(ADDRESS(2,COLUMN())),OFFSET($BM$2,0,0,ROW()-1,59),ROW()-1,FALSE))</f>
        <v/>
      </c>
      <c r="BA24" t="str">
        <f ca="1">IF(AND(ISNUMBER($BA$75),$B$53=1),$BA$75,HLOOKUP(INDIRECT(ADDRESS(2,COLUMN())),OFFSET($BM$2,0,0,ROW()-1,59),ROW()-1,FALSE))</f>
        <v/>
      </c>
      <c r="BB24" t="str">
        <f ca="1">IF(AND(ISNUMBER($BB$75),$B$53=1),$BB$75,HLOOKUP(INDIRECT(ADDRESS(2,COLUMN())),OFFSET($BM$2,0,0,ROW()-1,59),ROW()-1,FALSE))</f>
        <v/>
      </c>
      <c r="BC24" t="str">
        <f ca="1">IF(AND(ISNUMBER($BC$75),$B$53=1),$BC$75,HLOOKUP(INDIRECT(ADDRESS(2,COLUMN())),OFFSET($BM$2,0,0,ROW()-1,59),ROW()-1,FALSE))</f>
        <v/>
      </c>
      <c r="BD24" t="str">
        <f ca="1">IF(AND(ISNUMBER($BD$75),$B$53=1),$BD$75,HLOOKUP(INDIRECT(ADDRESS(2,COLUMN())),OFFSET($BM$2,0,0,ROW()-1,59),ROW()-1,FALSE))</f>
        <v/>
      </c>
      <c r="BE24" t="str">
        <f ca="1">IF(AND(ISNUMBER($BE$75),$B$53=1),$BE$75,HLOOKUP(INDIRECT(ADDRESS(2,COLUMN())),OFFSET($BM$2,0,0,ROW()-1,59),ROW()-1,FALSE))</f>
        <v/>
      </c>
      <c r="BF24" t="str">
        <f ca="1">IF(AND(ISNUMBER($BF$75),$B$53=1),$BF$75,HLOOKUP(INDIRECT(ADDRESS(2,COLUMN())),OFFSET($BM$2,0,0,ROW()-1,59),ROW()-1,FALSE))</f>
        <v/>
      </c>
      <c r="BG24" t="str">
        <f ca="1">IF(AND(ISNUMBER($BG$75),$B$53=1),$BG$75,HLOOKUP(INDIRECT(ADDRESS(2,COLUMN())),OFFSET($BM$2,0,0,ROW()-1,59),ROW()-1,FALSE))</f>
        <v/>
      </c>
      <c r="BH24" t="str">
        <f ca="1">IF(AND(ISNUMBER($BH$75),$B$53=1),$BH$75,HLOOKUP(INDIRECT(ADDRESS(2,COLUMN())),OFFSET($BM$2,0,0,ROW()-1,59),ROW()-1,FALSE))</f>
        <v/>
      </c>
      <c r="BI24" t="str">
        <f ca="1">IF(AND(ISNUMBER($BI$75),$B$53=1),$BI$75,HLOOKUP(INDIRECT(ADDRESS(2,COLUMN())),OFFSET($BM$2,0,0,ROW()-1,59),ROW()-1,FALSE))</f>
        <v/>
      </c>
      <c r="BJ24" t="str">
        <f ca="1">IF(AND(ISNUMBER($BJ$75),$B$53=1),$BJ$75,HLOOKUP(INDIRECT(ADDRESS(2,COLUMN())),OFFSET($BM$2,0,0,ROW()-1,59),ROW()-1,FALSE))</f>
        <v/>
      </c>
      <c r="BK24" t="str">
        <f ca="1">IF(AND(ISNUMBER($BK$75),$B$53=1),$BK$75,HLOOKUP(INDIRECT(ADDRESS(2,COLUMN())),OFFSET($BM$2,0,0,ROW()-1,59),ROW()-1,FALSE))</f>
        <v/>
      </c>
      <c r="BL24" t="str">
        <f ca="1">IF(AND(ISNUMBER($BL$75),$B$53=1),$BL$75,HLOOKUP(INDIRECT(ADDRESS(2,COLUMN())),OFFSET($BM$2,0,0,ROW()-1,59),ROW()-1,FALSE))</f>
        <v/>
      </c>
      <c r="BM24">
        <f>3259.958252</f>
        <v>3259.9582519999999</v>
      </c>
      <c r="BN24">
        <f>4742.412816</f>
        <v>4742.412816</v>
      </c>
      <c r="BO24">
        <f>4299.233653</f>
        <v>4299.2336530000002</v>
      </c>
      <c r="BP24">
        <f>4124.266695</f>
        <v>4124.2666950000003</v>
      </c>
      <c r="BQ24">
        <f>4236.468086</f>
        <v>4236.4680859999999</v>
      </c>
      <c r="BR24">
        <f>4837.984494</f>
        <v>4837.9844940000003</v>
      </c>
      <c r="BS24">
        <f>4509.168629</f>
        <v>4509.1686289999998</v>
      </c>
      <c r="BT24">
        <f>4177.053733</f>
        <v>4177.0537329999997</v>
      </c>
      <c r="BU24">
        <f>3778.586567</f>
        <v>3778.5865669999998</v>
      </c>
      <c r="BV24">
        <f>4622.112717</f>
        <v>4622.112717</v>
      </c>
      <c r="BW24">
        <f>4869.556809</f>
        <v>4869.5568089999997</v>
      </c>
      <c r="BX24">
        <f>4057.78325</f>
        <v>4057.78325</v>
      </c>
      <c r="BY24">
        <f>3940.434096</f>
        <v>3940.434096</v>
      </c>
      <c r="BZ24">
        <f>4679.160974</f>
        <v>4679.1609740000004</v>
      </c>
      <c r="CA24">
        <f>4331.775637</f>
        <v>4331.7756369999997</v>
      </c>
      <c r="CB24">
        <f>3685.332802</f>
        <v>3685.3328019999999</v>
      </c>
      <c r="CC24">
        <f>3439.393155</f>
        <v>3439.3931550000002</v>
      </c>
      <c r="CD24">
        <f>4333.377261</f>
        <v>4333.3772609999996</v>
      </c>
      <c r="CE24">
        <f>4241.983347</f>
        <v>4241.9833470000003</v>
      </c>
      <c r="CF24">
        <f>4031.05335</f>
        <v>4031.0533500000001</v>
      </c>
      <c r="CG24">
        <f>3640.031212</f>
        <v>3640.0312119999999</v>
      </c>
      <c r="CH24">
        <f>3862.294502</f>
        <v>3862.2945020000002</v>
      </c>
      <c r="CI24">
        <f>4403.180041</f>
        <v>4403.1800409999996</v>
      </c>
      <c r="CJ24">
        <f>3680.752909</f>
        <v>3680.7529089999998</v>
      </c>
      <c r="CK24">
        <f>3369.98537</f>
        <v>3369.9853699999999</v>
      </c>
      <c r="CL24">
        <f>4113.998388</f>
        <v>4113.998388</v>
      </c>
      <c r="CM24">
        <f>3877.933679</f>
        <v>3877.9336790000002</v>
      </c>
      <c r="CN24">
        <f>3534.861147</f>
        <v>3534.8611470000001</v>
      </c>
      <c r="CO24">
        <f>3058.394424</f>
        <v>3058.3944240000001</v>
      </c>
      <c r="CP24">
        <f>3166.318549</f>
        <v>3166.3185490000001</v>
      </c>
      <c r="CQ24">
        <f>3248.724356</f>
        <v>3248.7243560000002</v>
      </c>
      <c r="CR24">
        <f>2900.748897</f>
        <v>2900.7488969999999</v>
      </c>
      <c r="CS24" t="str">
        <f>""</f>
        <v/>
      </c>
      <c r="CT24" t="str">
        <f>""</f>
        <v/>
      </c>
      <c r="CU24" t="str">
        <f>""</f>
        <v/>
      </c>
      <c r="CV24" t="str">
        <f>""</f>
        <v/>
      </c>
      <c r="CW24" t="str">
        <f>""</f>
        <v/>
      </c>
      <c r="CX24" t="str">
        <f>""</f>
        <v/>
      </c>
      <c r="CY24" t="str">
        <f>""</f>
        <v/>
      </c>
      <c r="CZ24" t="str">
        <f>""</f>
        <v/>
      </c>
      <c r="DA24" t="str">
        <f>""</f>
        <v/>
      </c>
      <c r="DB24" t="str">
        <f>""</f>
        <v/>
      </c>
      <c r="DC24" t="str">
        <f>""</f>
        <v/>
      </c>
      <c r="DD24" t="str">
        <f>""</f>
        <v/>
      </c>
      <c r="DE24" t="str">
        <f>""</f>
        <v/>
      </c>
      <c r="DF24" t="str">
        <f>""</f>
        <v/>
      </c>
      <c r="DG24" t="str">
        <f>""</f>
        <v/>
      </c>
      <c r="DH24" t="str">
        <f>""</f>
        <v/>
      </c>
      <c r="DI24" t="str">
        <f>""</f>
        <v/>
      </c>
      <c r="DJ24" t="str">
        <f>""</f>
        <v/>
      </c>
      <c r="DK24" t="str">
        <f>""</f>
        <v/>
      </c>
      <c r="DL24" t="str">
        <f>""</f>
        <v/>
      </c>
      <c r="DM24" t="str">
        <f>""</f>
        <v/>
      </c>
      <c r="DN24" t="str">
        <f>""</f>
        <v/>
      </c>
      <c r="DO24" t="str">
        <f>""</f>
        <v/>
      </c>
      <c r="DP24" t="str">
        <f>""</f>
        <v/>
      </c>
      <c r="DQ24" t="str">
        <f>""</f>
        <v/>
      </c>
      <c r="DR24" t="str">
        <f>""</f>
        <v/>
      </c>
      <c r="DS24" t="str">
        <f>""</f>
        <v/>
      </c>
    </row>
    <row r="25" spans="1:123" x14ac:dyDescent="0.25">
      <c r="A25" t="str">
        <f>"By Geography ($M) - Tata"</f>
        <v>By Geography ($M) - Tata</v>
      </c>
      <c r="B25" t="str">
        <f>"TTMT IN Equity"</f>
        <v>TTMT IN Equity</v>
      </c>
      <c r="C25" t="str">
        <f>"IS010"</f>
        <v>IS010</v>
      </c>
      <c r="D25" t="str">
        <f>"SALES_REV_TURN"</f>
        <v>SALES_REV_TURN</v>
      </c>
      <c r="E25" t="str">
        <f t="shared" si="1"/>
        <v>Dynamic</v>
      </c>
      <c r="F25">
        <f ca="1">IF(AND(ISNUMBER($F$76),$B$53=1),$F$76,HLOOKUP(INDIRECT(ADDRESS(2,COLUMN())),OFFSET($BM$2,0,0,ROW()-1,59),ROW()-1,FALSE))</f>
        <v>10584.272510000001</v>
      </c>
      <c r="G25">
        <f ca="1">IF(AND(ISNUMBER($G$76),$B$53=1),$G$76,HLOOKUP(INDIRECT(ADDRESS(2,COLUMN())),OFFSET($BM$2,0,0,ROW()-1,59),ROW()-1,FALSE))</f>
        <v>10175.610790000001</v>
      </c>
      <c r="H25">
        <f ca="1">IF(AND(ISNUMBER($H$76),$B$53=1),$H$76,HLOOKUP(INDIRECT(ADDRESS(2,COLUMN())),OFFSET($BM$2,0,0,ROW()-1,59),ROW()-1,FALSE))</f>
        <v>10004.510329999999</v>
      </c>
      <c r="I25">
        <f ca="1">IF(AND(ISNUMBER($I$76),$B$53=1),$I$76,HLOOKUP(INDIRECT(ADDRESS(2,COLUMN())),OFFSET($BM$2,0,0,ROW()-1,59),ROW()-1,FALSE))</f>
        <v>14179.506310000001</v>
      </c>
      <c r="J25">
        <f ca="1">IF(AND(ISNUMBER($J$76),$B$53=1),$J$76,HLOOKUP(INDIRECT(ADDRESS(2,COLUMN())),OFFSET($BM$2,0,0,ROW()-1,59),ROW()-1,FALSE))</f>
        <v>11455.58043</v>
      </c>
      <c r="K25">
        <f ca="1">IF(AND(ISNUMBER($K$76),$B$53=1),$K$76,HLOOKUP(INDIRECT(ADDRESS(2,COLUMN())),OFFSET($BM$2,0,0,ROW()-1,59),ROW()-1,FALSE))</f>
        <v>10905.573710000001</v>
      </c>
      <c r="L25">
        <f ca="1">IF(AND(ISNUMBER($L$76),$B$53=1),$L$76,HLOOKUP(INDIRECT(ADDRESS(2,COLUMN())),OFFSET($BM$2,0,0,ROW()-1,59),ROW()-1,FALSE))</f>
        <v>9070.4786449999992</v>
      </c>
      <c r="M25">
        <f ca="1">IF(AND(ISNUMBER($M$76),$B$53=1),$M$76,HLOOKUP(INDIRECT(ADDRESS(2,COLUMN())),OFFSET($BM$2,0,0,ROW()-1,59),ROW()-1,FALSE))</f>
        <v>11539.430469999999</v>
      </c>
      <c r="N25">
        <f ca="1">IF(AND(ISNUMBER($N$76),$B$53=1),$N$76,HLOOKUP(INDIRECT(ADDRESS(2,COLUMN())),OFFSET($BM$2,0,0,ROW()-1,59),ROW()-1,FALSE))</f>
        <v>9480.2857189999995</v>
      </c>
      <c r="O25">
        <f ca="1">IF(AND(ISNUMBER($O$76),$B$53=1),$O$76,HLOOKUP(INDIRECT(ADDRESS(2,COLUMN())),OFFSET($BM$2,0,0,ROW()-1,59),ROW()-1,FALSE))</f>
        <v>9732.5655270000007</v>
      </c>
      <c r="P25">
        <f ca="1">IF(AND(ISNUMBER($P$76),$B$53=1),$P$76,HLOOKUP(INDIRECT(ADDRESS(2,COLUMN())),OFFSET($BM$2,0,0,ROW()-1,59),ROW()-1,FALSE))</f>
        <v>9717.1234769999992</v>
      </c>
      <c r="Q25">
        <f ca="1">IF(AND(ISNUMBER($Q$76),$B$53=1),$Q$76,HLOOKUP(INDIRECT(ADDRESS(2,COLUMN())),OFFSET($BM$2,0,0,ROW()-1,59),ROW()-1,FALSE))</f>
        <v>11781.2888</v>
      </c>
      <c r="R25">
        <f ca="1">IF(AND(ISNUMBER($R$76),$B$53=1),$R$76,HLOOKUP(INDIRECT(ADDRESS(2,COLUMN())),OFFSET($BM$2,0,0,ROW()-1,59),ROW()-1,FALSE))</f>
        <v>10375.958790000001</v>
      </c>
      <c r="S25">
        <f ca="1">IF(AND(ISNUMBER($S$76),$B$53=1),$S$76,HLOOKUP(INDIRECT(ADDRESS(2,COLUMN())),OFFSET($BM$2,0,0,ROW()-1,59),ROW()-1,FALSE))</f>
        <v>9396.8960709999992</v>
      </c>
      <c r="T25">
        <f ca="1">IF(AND(ISNUMBER($T$76),$B$53=1),$T$76,HLOOKUP(INDIRECT(ADDRESS(2,COLUMN())),OFFSET($BM$2,0,0,ROW()-1,59),ROW()-1,FALSE))</f>
        <v>9299.5837749999992</v>
      </c>
      <c r="U25">
        <f ca="1">IF(AND(ISNUMBER($U$76),$B$53=1),$U$76,HLOOKUP(INDIRECT(ADDRESS(2,COLUMN())),OFFSET($BM$2,0,0,ROW()-1,59),ROW()-1,FALSE))</f>
        <v>10814.41663</v>
      </c>
      <c r="V25">
        <f ca="1">IF(AND(ISNUMBER($V$76),$B$53=1),$V$76,HLOOKUP(INDIRECT(ADDRESS(2,COLUMN())),OFFSET($BM$2,0,0,ROW()-1,59),ROW()-1,FALSE))</f>
        <v>11151.934509999999</v>
      </c>
      <c r="W25">
        <f ca="1">IF(AND(ISNUMBER($W$76),$B$53=1),$W$76,HLOOKUP(INDIRECT(ADDRESS(2,COLUMN())),OFFSET($BM$2,0,0,ROW()-1,59),ROW()-1,FALSE))</f>
        <v>9929.0879669999995</v>
      </c>
      <c r="X25">
        <f ca="1">IF(AND(ISNUMBER($X$76),$B$53=1),$X$76,HLOOKUP(INDIRECT(ADDRESS(2,COLUMN())),OFFSET($BM$2,0,0,ROW()-1,59),ROW()-1,FALSE))</f>
        <v>10731.86702</v>
      </c>
      <c r="Y25">
        <f ca="1">IF(AND(ISNUMBER($Y$76),$B$53=1),$Y$76,HLOOKUP(INDIRECT(ADDRESS(2,COLUMN())),OFFSET($BM$2,0,0,ROW()-1,59),ROW()-1,FALSE))</f>
        <v>10478.92153</v>
      </c>
      <c r="Z25">
        <f ca="1">IF(AND(ISNUMBER($Z$76),$B$53=1),$Z$76,HLOOKUP(INDIRECT(ADDRESS(2,COLUMN())),OFFSET($BM$2,0,0,ROW()-1,59),ROW()-1,FALSE))</f>
        <v>10243.13523</v>
      </c>
      <c r="AA25">
        <f ca="1">IF(AND(ISNUMBER($AA$76),$B$53=1),$AA$76,HLOOKUP(INDIRECT(ADDRESS(2,COLUMN())),OFFSET($BM$2,0,0,ROW()-1,59),ROW()-1,FALSE))</f>
        <v>8981.8460919999998</v>
      </c>
      <c r="AB25">
        <f ca="1">IF(AND(ISNUMBER($AB$76),$B$53=1),$AB$76,HLOOKUP(INDIRECT(ADDRESS(2,COLUMN())),OFFSET($BM$2,0,0,ROW()-1,59),ROW()-1,FALSE))</f>
        <v>8363.3844179999996</v>
      </c>
      <c r="AC25">
        <f ca="1">IF(AND(ISNUMBER($AC$76),$B$53=1),$AC$76,HLOOKUP(INDIRECT(ADDRESS(2,COLUMN())),OFFSET($BM$2,0,0,ROW()-1,59),ROW()-1,FALSE))</f>
        <v>10308.794320000001</v>
      </c>
      <c r="AD25">
        <f ca="1">IF(AND(ISNUMBER($AD$76),$B$53=1),$AD$76,HLOOKUP(INDIRECT(ADDRESS(2,COLUMN())),OFFSET($BM$2,0,0,ROW()-1,59),ROW()-1,FALSE))</f>
        <v>8466.3846570000005</v>
      </c>
      <c r="AE25">
        <f ca="1">IF(AND(ISNUMBER($AE$76),$B$53=1),$AE$76,HLOOKUP(INDIRECT(ADDRESS(2,COLUMN())),OFFSET($BM$2,0,0,ROW()-1,59),ROW()-1,FALSE))</f>
        <v>7769.0021720000004</v>
      </c>
      <c r="AF25">
        <f ca="1">IF(AND(ISNUMBER($AF$76),$B$53=1),$AF$76,HLOOKUP(INDIRECT(ADDRESS(2,COLUMN())),OFFSET($BM$2,0,0,ROW()-1,59),ROW()-1,FALSE))</f>
        <v>7977.6795110000003</v>
      </c>
      <c r="AG25">
        <f ca="1">IF(AND(ISNUMBER($AG$76),$B$53=1),$AG$76,HLOOKUP(INDIRECT(ADDRESS(2,COLUMN())),OFFSET($BM$2,0,0,ROW()-1,59),ROW()-1,FALSE))</f>
        <v>10070.053330000001</v>
      </c>
      <c r="AH25">
        <f ca="1">IF(AND(ISNUMBER($AH$76),$B$53=1),$AH$76,HLOOKUP(INDIRECT(ADDRESS(2,COLUMN())),OFFSET($BM$2,0,0,ROW()-1,59),ROW()-1,FALSE))</f>
        <v>8874.8914960000002</v>
      </c>
      <c r="AI25">
        <f ca="1">IF(AND(ISNUMBER($AI$76),$B$53=1),$AI$76,HLOOKUP(INDIRECT(ADDRESS(2,COLUMN())),OFFSET($BM$2,0,0,ROW()-1,59),ROW()-1,FALSE))</f>
        <v>7859.570471</v>
      </c>
      <c r="AJ25">
        <f ca="1">IF(AND(ISNUMBER($AJ$76),$B$53=1),$AJ$76,HLOOKUP(INDIRECT(ADDRESS(2,COLUMN())),OFFSET($BM$2,0,0,ROW()-1,59),ROW()-1,FALSE))</f>
        <v>7462.5088400000004</v>
      </c>
      <c r="AK25">
        <f ca="1">IF(AND(ISNUMBER($AK$76),$B$53=1),$AK$76,HLOOKUP(INDIRECT(ADDRESS(2,COLUMN())),OFFSET($BM$2,0,0,ROW()-1,59),ROW()-1,FALSE))</f>
        <v>7293.5129280000001</v>
      </c>
      <c r="AL25">
        <f ca="1">IF(AND(ISNUMBER($AL$76),$B$53=1),$AL$76,HLOOKUP(INDIRECT(ADDRESS(2,COLUMN())),OFFSET($BM$2,0,0,ROW()-1,59),ROW()-1,FALSE))</f>
        <v>7025.3707690000001</v>
      </c>
      <c r="AM25">
        <f ca="1">IF(AND(ISNUMBER($AM$76),$B$53=1),$AM$76,HLOOKUP(INDIRECT(ADDRESS(2,COLUMN())),OFFSET($BM$2,0,0,ROW()-1,59),ROW()-1,FALSE))</f>
        <v>6148.5996450000002</v>
      </c>
      <c r="AN25">
        <f ca="1">IF(AND(ISNUMBER($AN$76),$B$53=1),$AN$76,HLOOKUP(INDIRECT(ADDRESS(2,COLUMN())),OFFSET($BM$2,0,0,ROW()-1,59),ROW()-1,FALSE))</f>
        <v>5887.3486999999996</v>
      </c>
      <c r="AO25">
        <f ca="1">IF(AND(ISNUMBER($AO$76),$B$53=1),$AO$76,HLOOKUP(INDIRECT(ADDRESS(2,COLUMN())),OFFSET($BM$2,0,0,ROW()-1,59),ROW()-1,FALSE))</f>
        <v>5947.2376789999998</v>
      </c>
      <c r="AP25">
        <f ca="1">IF(AND(ISNUMBER($AP$76),$B$53=1),$AP$76,HLOOKUP(INDIRECT(ADDRESS(2,COLUMN())),OFFSET($BM$2,0,0,ROW()-1,59),ROW()-1,FALSE))</f>
        <v>5570.5482869999996</v>
      </c>
      <c r="AQ25">
        <f ca="1">IF(AND(ISNUMBER($AQ$76),$B$53=1),$AQ$76,HLOOKUP(INDIRECT(ADDRESS(2,COLUMN())),OFFSET($BM$2,0,0,ROW()-1,59),ROW()-1,FALSE))</f>
        <v>4314.8396119999998</v>
      </c>
      <c r="AR25">
        <f ca="1">IF(AND(ISNUMBER($AR$76),$B$53=1),$AR$76,HLOOKUP(INDIRECT(ADDRESS(2,COLUMN())),OFFSET($BM$2,0,0,ROW()-1,59),ROW()-1,FALSE))</f>
        <v>3348.362396</v>
      </c>
      <c r="AS25">
        <f ca="1">IF(AND(ISNUMBER($AS$76),$B$53=1),$AS$76,HLOOKUP(INDIRECT(ADDRESS(2,COLUMN())),OFFSET($BM$2,0,0,ROW()-1,59),ROW()-1,FALSE))</f>
        <v>3039.931161</v>
      </c>
      <c r="AT25">
        <f ca="1">IF(AND(ISNUMBER($AT$76),$B$53=1),$AT$76,HLOOKUP(INDIRECT(ADDRESS(2,COLUMN())),OFFSET($BM$2,0,0,ROW()-1,59),ROW()-1,FALSE))</f>
        <v>3598.076454</v>
      </c>
      <c r="AU25">
        <f ca="1">IF(AND(ISNUMBER($AU$76),$B$53=1),$AU$76,HLOOKUP(INDIRECT(ADDRESS(2,COLUMN())),OFFSET($BM$2,0,0,ROW()-1,59),ROW()-1,FALSE))</f>
        <v>5221.5389519999999</v>
      </c>
      <c r="AV25">
        <f ca="1">IF(AND(ISNUMBER($AV$76),$B$53=1),$AV$76,HLOOKUP(INDIRECT(ADDRESS(2,COLUMN())),OFFSET($BM$2,0,0,ROW()-1,59),ROW()-1,FALSE))</f>
        <v>3455.8468469999998</v>
      </c>
      <c r="AW25" t="str">
        <f ca="1">IF(AND(ISNUMBER($AW$76),$B$53=1),$AW$76,HLOOKUP(INDIRECT(ADDRESS(2,COLUMN())),OFFSET($BM$2,0,0,ROW()-1,59),ROW()-1,FALSE))</f>
        <v/>
      </c>
      <c r="AX25">
        <f ca="1">IF(AND(ISNUMBER($AX$76),$B$53=1),$AX$76,HLOOKUP(INDIRECT(ADDRESS(2,COLUMN())),OFFSET($BM$2,0,0,ROW()-1,59),ROW()-1,FALSE))</f>
        <v>2340.3874179999998</v>
      </c>
      <c r="AY25">
        <f ca="1">IF(AND(ISNUMBER($AY$76),$B$53=1),$AY$76,HLOOKUP(INDIRECT(ADDRESS(2,COLUMN())),OFFSET($BM$2,0,0,ROW()-1,59),ROW()-1,FALSE))</f>
        <v>2025.3756069999999</v>
      </c>
      <c r="AZ25" t="str">
        <f ca="1">IF(AND(ISNUMBER($AZ$76),$B$53=1),$AZ$76,HLOOKUP(INDIRECT(ADDRESS(2,COLUMN())),OFFSET($BM$2,0,0,ROW()-1,59),ROW()-1,FALSE))</f>
        <v/>
      </c>
      <c r="BA25" t="str">
        <f ca="1">IF(AND(ISNUMBER($BA$76),$B$53=1),$BA$76,HLOOKUP(INDIRECT(ADDRESS(2,COLUMN())),OFFSET($BM$2,0,0,ROW()-1,59),ROW()-1,FALSE))</f>
        <v/>
      </c>
      <c r="BB25" t="str">
        <f ca="1">IF(AND(ISNUMBER($BB$76),$B$53=1),$BB$76,HLOOKUP(INDIRECT(ADDRESS(2,COLUMN())),OFFSET($BM$2,0,0,ROW()-1,59),ROW()-1,FALSE))</f>
        <v/>
      </c>
      <c r="BC25" t="str">
        <f ca="1">IF(AND(ISNUMBER($BC$76),$B$53=1),$BC$76,HLOOKUP(INDIRECT(ADDRESS(2,COLUMN())),OFFSET($BM$2,0,0,ROW()-1,59),ROW()-1,FALSE))</f>
        <v/>
      </c>
      <c r="BD25" t="str">
        <f ca="1">IF(AND(ISNUMBER($BD$76),$B$53=1),$BD$76,HLOOKUP(INDIRECT(ADDRESS(2,COLUMN())),OFFSET($BM$2,0,0,ROW()-1,59),ROW()-1,FALSE))</f>
        <v/>
      </c>
      <c r="BE25" t="str">
        <f ca="1">IF(AND(ISNUMBER($BE$76),$B$53=1),$BE$76,HLOOKUP(INDIRECT(ADDRESS(2,COLUMN())),OFFSET($BM$2,0,0,ROW()-1,59),ROW()-1,FALSE))</f>
        <v/>
      </c>
      <c r="BF25" t="str">
        <f ca="1">IF(AND(ISNUMBER($BF$76),$B$53=1),$BF$76,HLOOKUP(INDIRECT(ADDRESS(2,COLUMN())),OFFSET($BM$2,0,0,ROW()-1,59),ROW()-1,FALSE))</f>
        <v/>
      </c>
      <c r="BG25" t="str">
        <f ca="1">IF(AND(ISNUMBER($BG$76),$B$53=1),$BG$76,HLOOKUP(INDIRECT(ADDRESS(2,COLUMN())),OFFSET($BM$2,0,0,ROW()-1,59),ROW()-1,FALSE))</f>
        <v/>
      </c>
      <c r="BH25" t="str">
        <f ca="1">IF(AND(ISNUMBER($BH$76),$B$53=1),$BH$76,HLOOKUP(INDIRECT(ADDRESS(2,COLUMN())),OFFSET($BM$2,0,0,ROW()-1,59),ROW()-1,FALSE))</f>
        <v/>
      </c>
      <c r="BI25" t="str">
        <f ca="1">IF(AND(ISNUMBER($BI$76),$B$53=1),$BI$76,HLOOKUP(INDIRECT(ADDRESS(2,COLUMN())),OFFSET($BM$2,0,0,ROW()-1,59),ROW()-1,FALSE))</f>
        <v/>
      </c>
      <c r="BJ25" t="str">
        <f ca="1">IF(AND(ISNUMBER($BJ$76),$B$53=1),$BJ$76,HLOOKUP(INDIRECT(ADDRESS(2,COLUMN())),OFFSET($BM$2,0,0,ROW()-1,59),ROW()-1,FALSE))</f>
        <v/>
      </c>
      <c r="BK25" t="str">
        <f ca="1">IF(AND(ISNUMBER($BK$76),$B$53=1),$BK$76,HLOOKUP(INDIRECT(ADDRESS(2,COLUMN())),OFFSET($BM$2,0,0,ROW()-1,59),ROW()-1,FALSE))</f>
        <v/>
      </c>
      <c r="BL25" t="str">
        <f ca="1">IF(AND(ISNUMBER($BL$76),$B$53=1),$BL$76,HLOOKUP(INDIRECT(ADDRESS(2,COLUMN())),OFFSET($BM$2,0,0,ROW()-1,59),ROW()-1,FALSE))</f>
        <v/>
      </c>
      <c r="BM25">
        <f>10584.27251</f>
        <v>10584.272510000001</v>
      </c>
      <c r="BN25">
        <f>10175.61079</f>
        <v>10175.610790000001</v>
      </c>
      <c r="BO25">
        <f>10004.51033</f>
        <v>10004.510329999999</v>
      </c>
      <c r="BP25">
        <f>14179.50631</f>
        <v>14179.506310000001</v>
      </c>
      <c r="BQ25">
        <f>11455.58043</f>
        <v>11455.58043</v>
      </c>
      <c r="BR25">
        <f>10905.57371</f>
        <v>10905.573710000001</v>
      </c>
      <c r="BS25">
        <f>9070.478645</f>
        <v>9070.4786449999992</v>
      </c>
      <c r="BT25">
        <f>11539.43047</f>
        <v>11539.430469999999</v>
      </c>
      <c r="BU25">
        <f>9480.285719</f>
        <v>9480.2857189999995</v>
      </c>
      <c r="BV25">
        <f>9732.565527</f>
        <v>9732.5655270000007</v>
      </c>
      <c r="BW25">
        <f>9717.123477</f>
        <v>9717.1234769999992</v>
      </c>
      <c r="BX25">
        <f>11781.2888</f>
        <v>11781.2888</v>
      </c>
      <c r="BY25">
        <f>10375.95879</f>
        <v>10375.958790000001</v>
      </c>
      <c r="BZ25">
        <f>9396.896071</f>
        <v>9396.8960709999992</v>
      </c>
      <c r="CA25">
        <f>9299.583775</f>
        <v>9299.5837749999992</v>
      </c>
      <c r="CB25">
        <f>10814.41663</f>
        <v>10814.41663</v>
      </c>
      <c r="CC25">
        <f>11151.93451</f>
        <v>11151.934509999999</v>
      </c>
      <c r="CD25">
        <f>9929.087967</f>
        <v>9929.0879669999995</v>
      </c>
      <c r="CE25">
        <f>10731.86702</f>
        <v>10731.86702</v>
      </c>
      <c r="CF25">
        <f>10478.92153</f>
        <v>10478.92153</v>
      </c>
      <c r="CG25">
        <f>10243.13523</f>
        <v>10243.13523</v>
      </c>
      <c r="CH25">
        <f>8981.846092</f>
        <v>8981.8460919999998</v>
      </c>
      <c r="CI25">
        <f>8363.384418</f>
        <v>8363.3844179999996</v>
      </c>
      <c r="CJ25">
        <f>10308.79432</f>
        <v>10308.794320000001</v>
      </c>
      <c r="CK25">
        <f>8466.384657</f>
        <v>8466.3846570000005</v>
      </c>
      <c r="CL25">
        <f>7769.002172</f>
        <v>7769.0021720000004</v>
      </c>
      <c r="CM25">
        <f>7977.679511</f>
        <v>7977.6795110000003</v>
      </c>
      <c r="CN25">
        <f>10070.05333</f>
        <v>10070.053330000001</v>
      </c>
      <c r="CO25">
        <f>8874.891496</f>
        <v>8874.8914960000002</v>
      </c>
      <c r="CP25">
        <f>7859.570471</f>
        <v>7859.570471</v>
      </c>
      <c r="CQ25">
        <f>7462.50884</f>
        <v>7462.5088400000004</v>
      </c>
      <c r="CR25">
        <f>7293.512928</f>
        <v>7293.5129280000001</v>
      </c>
      <c r="CS25">
        <f>7025.370769</f>
        <v>7025.3707690000001</v>
      </c>
      <c r="CT25">
        <f>6148.599645</f>
        <v>6148.5996450000002</v>
      </c>
      <c r="CU25">
        <f>5887.3487</f>
        <v>5887.3486999999996</v>
      </c>
      <c r="CV25">
        <f>5947.237679</f>
        <v>5947.2376789999998</v>
      </c>
      <c r="CW25">
        <f>5570.548287</f>
        <v>5570.5482869999996</v>
      </c>
      <c r="CX25">
        <f>4314.839612</f>
        <v>4314.8396119999998</v>
      </c>
      <c r="CY25">
        <f>3348.362396</f>
        <v>3348.362396</v>
      </c>
      <c r="CZ25">
        <f>3039.931161</f>
        <v>3039.931161</v>
      </c>
      <c r="DA25">
        <f>3598.076454</f>
        <v>3598.076454</v>
      </c>
      <c r="DB25">
        <f>5221.538952</f>
        <v>5221.5389519999999</v>
      </c>
      <c r="DC25">
        <f>3455.846847</f>
        <v>3455.8468469999998</v>
      </c>
      <c r="DD25" t="str">
        <f>""</f>
        <v/>
      </c>
      <c r="DE25">
        <f>2340.387418</f>
        <v>2340.3874179999998</v>
      </c>
      <c r="DF25">
        <f>2025.375607</f>
        <v>2025.3756069999999</v>
      </c>
      <c r="DG25" t="str">
        <f>""</f>
        <v/>
      </c>
      <c r="DH25" t="str">
        <f>""</f>
        <v/>
      </c>
      <c r="DI25" t="str">
        <f>""</f>
        <v/>
      </c>
      <c r="DJ25" t="str">
        <f>""</f>
        <v/>
      </c>
      <c r="DK25" t="str">
        <f>""</f>
        <v/>
      </c>
      <c r="DL25" t="str">
        <f>""</f>
        <v/>
      </c>
      <c r="DM25" t="str">
        <f>""</f>
        <v/>
      </c>
      <c r="DN25" t="str">
        <f>""</f>
        <v/>
      </c>
      <c r="DO25" t="str">
        <f>""</f>
        <v/>
      </c>
      <c r="DP25" t="str">
        <f>""</f>
        <v/>
      </c>
      <c r="DQ25" t="str">
        <f>""</f>
        <v/>
      </c>
      <c r="DR25" t="str">
        <f>""</f>
        <v/>
      </c>
      <c r="DS25" t="str">
        <f>""</f>
        <v/>
      </c>
    </row>
    <row r="26" spans="1:123" x14ac:dyDescent="0.25">
      <c r="A26" t="str">
        <f>"By Geography ($M) - Suzuki"</f>
        <v>By Geography ($M) - Suzuki</v>
      </c>
      <c r="B26" t="str">
        <f>"7269 JP Equity"</f>
        <v>7269 JP Equity</v>
      </c>
      <c r="C26" t="str">
        <f>"IS010"</f>
        <v>IS010</v>
      </c>
      <c r="D26" t="str">
        <f>"SALES_REV_TURN"</f>
        <v>SALES_REV_TURN</v>
      </c>
      <c r="E26" t="str">
        <f t="shared" si="1"/>
        <v>Dynamic</v>
      </c>
      <c r="F26">
        <f ca="1">IF(AND(ISNUMBER($F$77),$B$53=1),$F$77,HLOOKUP(INDIRECT(ADDRESS(2,COLUMN())),OFFSET($BM$2,0,0,ROW()-1,59),ROW()-1,FALSE))</f>
        <v>8067.1188309999998</v>
      </c>
      <c r="G26">
        <f ca="1">IF(AND(ISNUMBER($G$77),$B$53=1),$G$77,HLOOKUP(INDIRECT(ADDRESS(2,COLUMN())),OFFSET($BM$2,0,0,ROW()-1,59),ROW()-1,FALSE))</f>
        <v>8448.9009170000008</v>
      </c>
      <c r="H26">
        <f ca="1">IF(AND(ISNUMBER($H$77),$B$53=1),$H$77,HLOOKUP(INDIRECT(ADDRESS(2,COLUMN())),OFFSET($BM$2,0,0,ROW()-1,59),ROW()-1,FALSE))</f>
        <v>9050.8906900000002</v>
      </c>
      <c r="I26">
        <f ca="1">IF(AND(ISNUMBER($I$77),$B$53=1),$I$77,HLOOKUP(INDIRECT(ADDRESS(2,COLUMN())),OFFSET($BM$2,0,0,ROW()-1,59),ROW()-1,FALSE))</f>
        <v>9530.5591029999996</v>
      </c>
      <c r="J26">
        <f ca="1">IF(AND(ISNUMBER($J$77),$B$53=1),$J$77,HLOOKUP(INDIRECT(ADDRESS(2,COLUMN())),OFFSET($BM$2,0,0,ROW()-1,59),ROW()-1,FALSE))</f>
        <v>7918.0672000000004</v>
      </c>
      <c r="K26">
        <f ca="1">IF(AND(ISNUMBER($K$77),$B$53=1),$K$77,HLOOKUP(INDIRECT(ADDRESS(2,COLUMN())),OFFSET($BM$2,0,0,ROW()-1,59),ROW()-1,FALSE))</f>
        <v>8668.1956300000002</v>
      </c>
      <c r="L26">
        <f ca="1">IF(AND(ISNUMBER($L$77),$B$53=1),$L$77,HLOOKUP(INDIRECT(ADDRESS(2,COLUMN())),OFFSET($BM$2,0,0,ROW()-1,59),ROW()-1,FALSE))</f>
        <v>7823.515418</v>
      </c>
      <c r="M26">
        <f ca="1">IF(AND(ISNUMBER($M$77),$B$53=1),$M$77,HLOOKUP(INDIRECT(ADDRESS(2,COLUMN())),OFFSET($BM$2,0,0,ROW()-1,59),ROW()-1,FALSE))</f>
        <v>8079.0013950000002</v>
      </c>
      <c r="N26">
        <f ca="1">IF(AND(ISNUMBER($N$77),$B$53=1),$N$77,HLOOKUP(INDIRECT(ADDRESS(2,COLUMN())),OFFSET($BM$2,0,0,ROW()-1,59),ROW()-1,FALSE))</f>
        <v>6889.1201229999997</v>
      </c>
      <c r="O26">
        <f ca="1">IF(AND(ISNUMBER($O$77),$B$53=1),$O$77,HLOOKUP(INDIRECT(ADDRESS(2,COLUMN())),OFFSET($BM$2,0,0,ROW()-1,59),ROW()-1,FALSE))</f>
        <v>7279.160449</v>
      </c>
      <c r="P26">
        <f ca="1">IF(AND(ISNUMBER($P$77),$B$53=1),$P$77,HLOOKUP(INDIRECT(ADDRESS(2,COLUMN())),OFFSET($BM$2,0,0,ROW()-1,59),ROW()-1,FALSE))</f>
        <v>6988.844486</v>
      </c>
      <c r="Q26">
        <f ca="1">IF(AND(ISNUMBER($Q$77),$B$53=1),$Q$77,HLOOKUP(INDIRECT(ADDRESS(2,COLUMN())),OFFSET($BM$2,0,0,ROW()-1,59),ROW()-1,FALSE))</f>
        <v>7164.0745539999998</v>
      </c>
      <c r="R26">
        <f ca="1">IF(AND(ISNUMBER($R$77),$B$53=1),$R$77,HLOOKUP(INDIRECT(ADDRESS(2,COLUMN())),OFFSET($BM$2,0,0,ROW()-1,59),ROW()-1,FALSE))</f>
        <v>6590.3288259999999</v>
      </c>
      <c r="S26">
        <f ca="1">IF(AND(ISNUMBER($S$77),$B$53=1),$S$77,HLOOKUP(INDIRECT(ADDRESS(2,COLUMN())),OFFSET($BM$2,0,0,ROW()-1,59),ROW()-1,FALSE))</f>
        <v>6408.5815469999998</v>
      </c>
      <c r="T26">
        <f ca="1">IF(AND(ISNUMBER($T$77),$B$53=1),$T$77,HLOOKUP(INDIRECT(ADDRESS(2,COLUMN())),OFFSET($BM$2,0,0,ROW()-1,59),ROW()-1,FALSE))</f>
        <v>6369.8193899999997</v>
      </c>
      <c r="U26">
        <f ca="1">IF(AND(ISNUMBER($U$77),$B$53=1),$U$77,HLOOKUP(INDIRECT(ADDRESS(2,COLUMN())),OFFSET($BM$2,0,0,ROW()-1,59),ROW()-1,FALSE))</f>
        <v>7321.6509880000003</v>
      </c>
      <c r="V26">
        <f ca="1">IF(AND(ISNUMBER($V$77),$B$53=1),$V$77,HLOOKUP(INDIRECT(ADDRESS(2,COLUMN())),OFFSET($BM$2,0,0,ROW()-1,59),ROW()-1,FALSE))</f>
        <v>6231.7836360000001</v>
      </c>
      <c r="W26">
        <f ca="1">IF(AND(ISNUMBER($W$77),$B$53=1),$W$77,HLOOKUP(INDIRECT(ADDRESS(2,COLUMN())),OFFSET($BM$2,0,0,ROW()-1,59),ROW()-1,FALSE))</f>
        <v>6930.5486870000004</v>
      </c>
      <c r="X26">
        <f ca="1">IF(AND(ISNUMBER($X$77),$B$53=1),$X$77,HLOOKUP(INDIRECT(ADDRESS(2,COLUMN())),OFFSET($BM$2,0,0,ROW()-1,59),ROW()-1,FALSE))</f>
        <v>6957.2479800000001</v>
      </c>
      <c r="Y26">
        <f ca="1">IF(AND(ISNUMBER($Y$77),$B$53=1),$Y$77,HLOOKUP(INDIRECT(ADDRESS(2,COLUMN())),OFFSET($BM$2,0,0,ROW()-1,59),ROW()-1,FALSE))</f>
        <v>8391.3190410000007</v>
      </c>
      <c r="Z26">
        <f ca="1">IF(AND(ISNUMBER($Z$77),$B$53=1),$Z$77,HLOOKUP(INDIRECT(ADDRESS(2,COLUMN())),OFFSET($BM$2,0,0,ROW()-1,59),ROW()-1,FALSE))</f>
        <v>7028.6748420000004</v>
      </c>
      <c r="AA26">
        <f ca="1">IF(AND(ISNUMBER($AA$77),$B$53=1),$AA$77,HLOOKUP(INDIRECT(ADDRESS(2,COLUMN())),OFFSET($BM$2,0,0,ROW()-1,59),ROW()-1,FALSE))</f>
        <v>7019.6551669999999</v>
      </c>
      <c r="AB26">
        <f ca="1">IF(AND(ISNUMBER($AB$77),$B$53=1),$AB$77,HLOOKUP(INDIRECT(ADDRESS(2,COLUMN())),OFFSET($BM$2,0,0,ROW()-1,59),ROW()-1,FALSE))</f>
        <v>6850.2519970000003</v>
      </c>
      <c r="AC26">
        <f ca="1">IF(AND(ISNUMBER($AC$77),$B$53=1),$AC$77,HLOOKUP(INDIRECT(ADDRESS(2,COLUMN())),OFFSET($BM$2,0,0,ROW()-1,59),ROW()-1,FALSE))</f>
        <v>8202.6287159999993</v>
      </c>
      <c r="AD26">
        <f ca="1">IF(AND(ISNUMBER($AD$77),$B$53=1),$AD$77,HLOOKUP(INDIRECT(ADDRESS(2,COLUMN())),OFFSET($BM$2,0,0,ROW()-1,59),ROW()-1,FALSE))</f>
        <v>7343.4550909999998</v>
      </c>
      <c r="AE26">
        <f ca="1">IF(AND(ISNUMBER($AE$77),$B$53=1),$AE$77,HLOOKUP(INDIRECT(ADDRESS(2,COLUMN())),OFFSET($BM$2,0,0,ROW()-1,59),ROW()-1,FALSE))</f>
        <v>7402.4653079999998</v>
      </c>
      <c r="AF26">
        <f ca="1">IF(AND(ISNUMBER($AF$77),$B$53=1),$AF$77,HLOOKUP(INDIRECT(ADDRESS(2,COLUMN())),OFFSET($BM$2,0,0,ROW()-1,59),ROW()-1,FALSE))</f>
        <v>8053.0868739999996</v>
      </c>
      <c r="AG26">
        <f ca="1">IF(AND(ISNUMBER($AG$77),$B$53=1),$AG$77,HLOOKUP(INDIRECT(ADDRESS(2,COLUMN())),OFFSET($BM$2,0,0,ROW()-1,59),ROW()-1,FALSE))</f>
        <v>9011.9014029999998</v>
      </c>
      <c r="AH26">
        <f ca="1">IF(AND(ISNUMBER($AH$77),$B$53=1),$AH$77,HLOOKUP(INDIRECT(ADDRESS(2,COLUMN())),OFFSET($BM$2,0,0,ROW()-1,59),ROW()-1,FALSE))</f>
        <v>7393.4160570000004</v>
      </c>
      <c r="AI26">
        <f ca="1">IF(AND(ISNUMBER($AI$77),$B$53=1),$AI$77,HLOOKUP(INDIRECT(ADDRESS(2,COLUMN())),OFFSET($BM$2,0,0,ROW()-1,59),ROW()-1,FALSE))</f>
        <v>7969.2980799999996</v>
      </c>
      <c r="AJ26">
        <f ca="1">IF(AND(ISNUMBER($AJ$77),$B$53=1),$AJ$77,HLOOKUP(INDIRECT(ADDRESS(2,COLUMN())),OFFSET($BM$2,0,0,ROW()-1,59),ROW()-1,FALSE))</f>
        <v>7449.7613350000001</v>
      </c>
      <c r="AK26">
        <f ca="1">IF(AND(ISNUMBER($AK$77),$B$53=1),$AK$77,HLOOKUP(INDIRECT(ADDRESS(2,COLUMN())),OFFSET($BM$2,0,0,ROW()-1,59),ROW()-1,FALSE))</f>
        <v>8275.8892180000003</v>
      </c>
      <c r="AL26">
        <f ca="1">IF(AND(ISNUMBER($AL$77),$B$53=1),$AL$77,HLOOKUP(INDIRECT(ADDRESS(2,COLUMN())),OFFSET($BM$2,0,0,ROW()-1,59),ROW()-1,FALSE))</f>
        <v>7378.2147240000004</v>
      </c>
      <c r="AM26">
        <f ca="1">IF(AND(ISNUMBER($AM$77),$B$53=1),$AM$77,HLOOKUP(INDIRECT(ADDRESS(2,COLUMN())),OFFSET($BM$2,0,0,ROW()-1,59),ROW()-1,FALSE))</f>
        <v>7727.3467099999998</v>
      </c>
      <c r="AN26">
        <f ca="1">IF(AND(ISNUMBER($AN$77),$B$53=1),$AN$77,HLOOKUP(INDIRECT(ADDRESS(2,COLUMN())),OFFSET($BM$2,0,0,ROW()-1,59),ROW()-1,FALSE))</f>
        <v>7130.0651310000003</v>
      </c>
      <c r="AO26">
        <f ca="1">IF(AND(ISNUMBER($AO$77),$B$53=1),$AO$77,HLOOKUP(INDIRECT(ADDRESS(2,COLUMN())),OFFSET($BM$2,0,0,ROW()-1,59),ROW()-1,FALSE))</f>
        <v>7612.753428</v>
      </c>
      <c r="AP26">
        <f ca="1">IF(AND(ISNUMBER($AP$77),$B$53=1),$AP$77,HLOOKUP(INDIRECT(ADDRESS(2,COLUMN())),OFFSET($BM$2,0,0,ROW()-1,59),ROW()-1,FALSE))</f>
        <v>6649.414659</v>
      </c>
      <c r="AQ26">
        <f ca="1">IF(AND(ISNUMBER($AQ$77),$B$53=1),$AQ$77,HLOOKUP(INDIRECT(ADDRESS(2,COLUMN())),OFFSET($BM$2,0,0,ROW()-1,59),ROW()-1,FALSE))</f>
        <v>6463.66248</v>
      </c>
      <c r="AR26">
        <f ca="1">IF(AND(ISNUMBER($AR$77),$B$53=1),$AR$77,HLOOKUP(INDIRECT(ADDRESS(2,COLUMN())),OFFSET($BM$2,0,0,ROW()-1,59),ROW()-1,FALSE))</f>
        <v>5930.724886</v>
      </c>
      <c r="AS26">
        <f ca="1">IF(AND(ISNUMBER($AS$77),$B$53=1),$AS$77,HLOOKUP(INDIRECT(ADDRESS(2,COLUMN())),OFFSET($BM$2,0,0,ROW()-1,59),ROW()-1,FALSE))</f>
        <v>7164.2597239999996</v>
      </c>
      <c r="AT26">
        <f ca="1">IF(AND(ISNUMBER($AT$77),$B$53=1),$AT$77,HLOOKUP(INDIRECT(ADDRESS(2,COLUMN())),OFFSET($BM$2,0,0,ROW()-1,59),ROW()-1,FALSE))</f>
        <v>6415.3378089999997</v>
      </c>
      <c r="AU26">
        <f ca="1">IF(AND(ISNUMBER($AU$77),$B$53=1),$AU$77,HLOOKUP(INDIRECT(ADDRESS(2,COLUMN())),OFFSET($BM$2,0,0,ROW()-1,59),ROW()-1,FALSE))</f>
        <v>7524.821003</v>
      </c>
      <c r="AV26">
        <f ca="1">IF(AND(ISNUMBER($AV$77),$B$53=1),$AV$77,HLOOKUP(INDIRECT(ADDRESS(2,COLUMN())),OFFSET($BM$2,0,0,ROW()-1,59),ROW()-1,FALSE))</f>
        <v>8705.0133089999999</v>
      </c>
      <c r="AW26">
        <f ca="1">IF(AND(ISNUMBER($AW$77),$B$53=1),$AW$77,HLOOKUP(INDIRECT(ADDRESS(2,COLUMN())),OFFSET($BM$2,0,0,ROW()-1,59),ROW()-1,FALSE))</f>
        <v>8779.9796860000006</v>
      </c>
      <c r="AX26">
        <f ca="1">IF(AND(ISNUMBER($AX$77),$B$53=1),$AX$77,HLOOKUP(INDIRECT(ADDRESS(2,COLUMN())),OFFSET($BM$2,0,0,ROW()-1,59),ROW()-1,FALSE))</f>
        <v>7513.6903890000003</v>
      </c>
      <c r="AY26">
        <f ca="1">IF(AND(ISNUMBER($AY$77),$B$53=1),$AY$77,HLOOKUP(INDIRECT(ADDRESS(2,COLUMN())),OFFSET($BM$2,0,0,ROW()-1,59),ROW()-1,FALSE))</f>
        <v>7086.8642920000002</v>
      </c>
      <c r="AZ26">
        <f ca="1">IF(AND(ISNUMBER($AZ$77),$B$53=1),$AZ$77,HLOOKUP(INDIRECT(ADDRESS(2,COLUMN())),OFFSET($BM$2,0,0,ROW()-1,59),ROW()-1,FALSE))</f>
        <v>7405.8671180000001</v>
      </c>
      <c r="BA26">
        <f ca="1">IF(AND(ISNUMBER($BA$77),$B$53=1),$BA$77,HLOOKUP(INDIRECT(ADDRESS(2,COLUMN())),OFFSET($BM$2,0,0,ROW()-1,59),ROW()-1,FALSE))</f>
        <v>7753.8621279999998</v>
      </c>
      <c r="BB26">
        <f ca="1">IF(AND(ISNUMBER($BB$77),$B$53=1),$BB$77,HLOOKUP(INDIRECT(ADDRESS(2,COLUMN())),OFFSET($BM$2,0,0,ROW()-1,59),ROW()-1,FALSE))</f>
        <v>6418.815783</v>
      </c>
      <c r="BC26">
        <f ca="1">IF(AND(ISNUMBER($BC$77),$B$53=1),$BC$77,HLOOKUP(INDIRECT(ADDRESS(2,COLUMN())),OFFSET($BM$2,0,0,ROW()-1,59),ROW()-1,FALSE))</f>
        <v>6180.1356740000001</v>
      </c>
      <c r="BD26">
        <f ca="1">IF(AND(ISNUMBER($BD$77),$B$53=1),$BD$77,HLOOKUP(INDIRECT(ADDRESS(2,COLUMN())),OFFSET($BM$2,0,0,ROW()-1,59),ROW()-1,FALSE))</f>
        <v>6682.1709529999998</v>
      </c>
      <c r="BE26">
        <f ca="1">IF(AND(ISNUMBER($BE$77),$B$53=1),$BE$77,HLOOKUP(INDIRECT(ADDRESS(2,COLUMN())),OFFSET($BM$2,0,0,ROW()-1,59),ROW()-1,FALSE))</f>
        <v>6789.6889979999996</v>
      </c>
      <c r="BF26">
        <f ca="1">IF(AND(ISNUMBER($BF$77),$B$53=1),$BF$77,HLOOKUP(INDIRECT(ADDRESS(2,COLUMN())),OFFSET($BM$2,0,0,ROW()-1,59),ROW()-1,FALSE))</f>
        <v>5795.9794309999997</v>
      </c>
      <c r="BG26">
        <f ca="1">IF(AND(ISNUMBER($BG$77),$B$53=1),$BG$77,HLOOKUP(INDIRECT(ADDRESS(2,COLUMN())),OFFSET($BM$2,0,0,ROW()-1,59),ROW()-1,FALSE))</f>
        <v>5714.0906779999996</v>
      </c>
      <c r="BH26">
        <f ca="1">IF(AND(ISNUMBER($BH$77),$B$53=1),$BH$77,HLOOKUP(INDIRECT(ADDRESS(2,COLUMN())),OFFSET($BM$2,0,0,ROW()-1,59),ROW()-1,FALSE))</f>
        <v>5931.6773919999996</v>
      </c>
      <c r="BI26">
        <f ca="1">IF(AND(ISNUMBER($BI$77),$B$53=1),$BI$77,HLOOKUP(INDIRECT(ADDRESS(2,COLUMN())),OFFSET($BM$2,0,0,ROW()-1,59),ROW()-1,FALSE))</f>
        <v>5995.3283540000002</v>
      </c>
      <c r="BJ26">
        <f ca="1">IF(AND(ISNUMBER($BJ$77),$B$53=1),$BJ$77,HLOOKUP(INDIRECT(ADDRESS(2,COLUMN())),OFFSET($BM$2,0,0,ROW()-1,59),ROW()-1,FALSE))</f>
        <v>5455.21857</v>
      </c>
      <c r="BK26">
        <f ca="1">IF(AND(ISNUMBER($BK$77),$B$53=1),$BK$77,HLOOKUP(INDIRECT(ADDRESS(2,COLUMN())),OFFSET($BM$2,0,0,ROW()-1,59),ROW()-1,FALSE))</f>
        <v>5235.1226589999997</v>
      </c>
      <c r="BL26">
        <f ca="1">IF(AND(ISNUMBER($BL$77),$B$53=1),$BL$77,HLOOKUP(INDIRECT(ADDRESS(2,COLUMN())),OFFSET($BM$2,0,0,ROW()-1,59),ROW()-1,FALSE))</f>
        <v>5356.2632739999999</v>
      </c>
      <c r="BM26">
        <f>8067.118831</f>
        <v>8067.1188309999998</v>
      </c>
      <c r="BN26">
        <f>8448.900917</f>
        <v>8448.9009170000008</v>
      </c>
      <c r="BO26">
        <f>9050.89069</f>
        <v>9050.8906900000002</v>
      </c>
      <c r="BP26">
        <f>9530.559103</f>
        <v>9530.5591029999996</v>
      </c>
      <c r="BQ26">
        <f>7918.0672</f>
        <v>7918.0672000000004</v>
      </c>
      <c r="BR26">
        <f>8668.19563</f>
        <v>8668.1956300000002</v>
      </c>
      <c r="BS26">
        <f>7823.515418</f>
        <v>7823.515418</v>
      </c>
      <c r="BT26">
        <f>8079.001395</f>
        <v>8079.0013950000002</v>
      </c>
      <c r="BU26">
        <f>6889.120123</f>
        <v>6889.1201229999997</v>
      </c>
      <c r="BV26">
        <f>7279.160449</f>
        <v>7279.160449</v>
      </c>
      <c r="BW26">
        <f>6988.844486</f>
        <v>6988.844486</v>
      </c>
      <c r="BX26">
        <f>7164.074554</f>
        <v>7164.0745539999998</v>
      </c>
      <c r="BY26">
        <f>6590.328826</f>
        <v>6590.3288259999999</v>
      </c>
      <c r="BZ26">
        <f>6408.581547</f>
        <v>6408.5815469999998</v>
      </c>
      <c r="CA26">
        <f>6369.81939</f>
        <v>6369.8193899999997</v>
      </c>
      <c r="CB26">
        <f>7321.650988</f>
        <v>7321.6509880000003</v>
      </c>
      <c r="CC26">
        <f>6231.783636</f>
        <v>6231.7836360000001</v>
      </c>
      <c r="CD26">
        <f>6930.548687</f>
        <v>6930.5486870000004</v>
      </c>
      <c r="CE26">
        <f>6957.24798</f>
        <v>6957.2479800000001</v>
      </c>
      <c r="CF26">
        <f>8391.319041</f>
        <v>8391.3190410000007</v>
      </c>
      <c r="CG26">
        <f>7028.674842</f>
        <v>7028.6748420000004</v>
      </c>
      <c r="CH26">
        <f>7019.655167</f>
        <v>7019.6551669999999</v>
      </c>
      <c r="CI26">
        <f>6850.251997</f>
        <v>6850.2519970000003</v>
      </c>
      <c r="CJ26">
        <f>8202.628716</f>
        <v>8202.6287159999993</v>
      </c>
      <c r="CK26">
        <f>7343.455091</f>
        <v>7343.4550909999998</v>
      </c>
      <c r="CL26">
        <f>7402.465308</f>
        <v>7402.4653079999998</v>
      </c>
      <c r="CM26">
        <f>8053.086874</f>
        <v>8053.0868739999996</v>
      </c>
      <c r="CN26">
        <f>9011.901403</f>
        <v>9011.9014029999998</v>
      </c>
      <c r="CO26">
        <f>7393.416057</f>
        <v>7393.4160570000004</v>
      </c>
      <c r="CP26">
        <f>7969.29808</f>
        <v>7969.2980799999996</v>
      </c>
      <c r="CQ26">
        <f>7449.761335</f>
        <v>7449.7613350000001</v>
      </c>
      <c r="CR26">
        <f>8275.889218</f>
        <v>8275.8892180000003</v>
      </c>
      <c r="CS26">
        <f>7378.214724</f>
        <v>7378.2147240000004</v>
      </c>
      <c r="CT26">
        <f>7727.34671</f>
        <v>7727.3467099999998</v>
      </c>
      <c r="CU26">
        <f>7130.065131</f>
        <v>7130.0651310000003</v>
      </c>
      <c r="CV26">
        <f>7612.753428</f>
        <v>7612.753428</v>
      </c>
      <c r="CW26">
        <f>6649.414659</f>
        <v>6649.414659</v>
      </c>
      <c r="CX26">
        <f>6463.66248</f>
        <v>6463.66248</v>
      </c>
      <c r="CY26">
        <f>5930.724886</f>
        <v>5930.724886</v>
      </c>
      <c r="CZ26">
        <f>7164.259724</f>
        <v>7164.2597239999996</v>
      </c>
      <c r="DA26">
        <f>6415.337809</f>
        <v>6415.3378089999997</v>
      </c>
      <c r="DB26">
        <f>7524.821003</f>
        <v>7524.821003</v>
      </c>
      <c r="DC26">
        <f>8705.013309</f>
        <v>8705.0133089999999</v>
      </c>
      <c r="DD26">
        <f>8779.979686</f>
        <v>8779.9796860000006</v>
      </c>
      <c r="DE26">
        <f>7513.690389</f>
        <v>7513.6903890000003</v>
      </c>
      <c r="DF26">
        <f>7086.864292</f>
        <v>7086.8642920000002</v>
      </c>
      <c r="DG26">
        <f>7405.867118</f>
        <v>7405.8671180000001</v>
      </c>
      <c r="DH26">
        <f>7753.862128</f>
        <v>7753.8621279999998</v>
      </c>
      <c r="DI26">
        <f>6418.815783</f>
        <v>6418.815783</v>
      </c>
      <c r="DJ26">
        <f>6180.135674</f>
        <v>6180.1356740000001</v>
      </c>
      <c r="DK26">
        <f>6682.170953</f>
        <v>6682.1709529999998</v>
      </c>
      <c r="DL26">
        <f>6789.688998</f>
        <v>6789.6889979999996</v>
      </c>
      <c r="DM26">
        <f>5795.979431</f>
        <v>5795.9794309999997</v>
      </c>
      <c r="DN26">
        <f>5714.090678</f>
        <v>5714.0906779999996</v>
      </c>
      <c r="DO26">
        <f>5931.677392</f>
        <v>5931.6773919999996</v>
      </c>
      <c r="DP26">
        <f>5995.328354</f>
        <v>5995.3283540000002</v>
      </c>
      <c r="DQ26">
        <f>5455.21857</f>
        <v>5455.21857</v>
      </c>
      <c r="DR26">
        <f>5235.122659</f>
        <v>5235.1226589999997</v>
      </c>
      <c r="DS26">
        <f>5356.263274</f>
        <v>5356.2632739999999</v>
      </c>
    </row>
    <row r="27" spans="1:123" x14ac:dyDescent="0.25">
      <c r="A27" t="str">
        <f>"        North America"</f>
        <v xml:space="preserve">        North America</v>
      </c>
      <c r="B27" t="str">
        <f>"7269 JP Equity"</f>
        <v>7269 JP Equity</v>
      </c>
      <c r="C27" t="str">
        <f>"BI047"</f>
        <v>BI047</v>
      </c>
      <c r="D27" t="str">
        <f>"BICS_SEGMENT_DATA"</f>
        <v>BICS_SEGMENT_DATA</v>
      </c>
      <c r="E27" t="str">
        <f t="shared" si="1"/>
        <v>Dynamic</v>
      </c>
      <c r="F27">
        <f ca="1">IF(AND(ISNUMBER($F$78),$B$53=1),$F$78,HLOOKUP(INDIRECT(ADDRESS(2,COLUMN())),OFFSET($BM$2,0,0,ROW()-1,59),ROW()-1,FALSE))</f>
        <v>126.8526493</v>
      </c>
      <c r="G27">
        <f ca="1">IF(AND(ISNUMBER($G$78),$B$53=1),$G$78,HLOOKUP(INDIRECT(ADDRESS(2,COLUMN())),OFFSET($BM$2,0,0,ROW()-1,59),ROW()-1,FALSE))</f>
        <v>133.64469349999999</v>
      </c>
      <c r="H27">
        <f ca="1">IF(AND(ISNUMBER($H$78),$B$53=1),$H$78,HLOOKUP(INDIRECT(ADDRESS(2,COLUMN())),OFFSET($BM$2,0,0,ROW()-1,59),ROW()-1,FALSE))</f>
        <v>169.5663132</v>
      </c>
      <c r="I27">
        <f ca="1">IF(AND(ISNUMBER($I$78),$B$53=1),$I$78,HLOOKUP(INDIRECT(ADDRESS(2,COLUMN())),OFFSET($BM$2,0,0,ROW()-1,59),ROW()-1,FALSE))</f>
        <v>177.25518829999999</v>
      </c>
      <c r="J27">
        <f ca="1">IF(AND(ISNUMBER($J$78),$B$53=1),$J$78,HLOOKUP(INDIRECT(ADDRESS(2,COLUMN())),OFFSET($BM$2,0,0,ROW()-1,59),ROW()-1,FALSE))</f>
        <v>116.9389206</v>
      </c>
      <c r="K27">
        <f ca="1">IF(AND(ISNUMBER($K$78),$B$53=1),$K$78,HLOOKUP(INDIRECT(ADDRESS(2,COLUMN())),OFFSET($BM$2,0,0,ROW()-1,59),ROW()-1,FALSE))</f>
        <v>117.1640859</v>
      </c>
      <c r="L27">
        <f ca="1">IF(AND(ISNUMBER($L$78),$B$53=1),$L$78,HLOOKUP(INDIRECT(ADDRESS(2,COLUMN())),OFFSET($BM$2,0,0,ROW()-1,59),ROW()-1,FALSE))</f>
        <v>153.89406769999999</v>
      </c>
      <c r="M27">
        <f ca="1">IF(AND(ISNUMBER($M$78),$B$53=1),$M$78,HLOOKUP(INDIRECT(ADDRESS(2,COLUMN())),OFFSET($BM$2,0,0,ROW()-1,59),ROW()-1,FALSE))</f>
        <v>176.842837</v>
      </c>
      <c r="N27">
        <f ca="1">IF(AND(ISNUMBER($N$78),$B$53=1),$N$78,HLOOKUP(INDIRECT(ADDRESS(2,COLUMN())),OFFSET($BM$2,0,0,ROW()-1,59),ROW()-1,FALSE))</f>
        <v>102.5943786</v>
      </c>
      <c r="O27">
        <f ca="1">IF(AND(ISNUMBER($O$78),$B$53=1),$O$78,HLOOKUP(INDIRECT(ADDRESS(2,COLUMN())),OFFSET($BM$2,0,0,ROW()-1,59),ROW()-1,FALSE))</f>
        <v>106.6675376</v>
      </c>
      <c r="P27">
        <f ca="1">IF(AND(ISNUMBER($P$78),$B$53=1),$P$78,HLOOKUP(INDIRECT(ADDRESS(2,COLUMN())),OFFSET($BM$2,0,0,ROW()-1,59),ROW()-1,FALSE))</f>
        <v>128.83414389999999</v>
      </c>
      <c r="Q27">
        <f ca="1">IF(AND(ISNUMBER($Q$78),$B$53=1),$Q$78,HLOOKUP(INDIRECT(ADDRESS(2,COLUMN())),OFFSET($BM$2,0,0,ROW()-1,59),ROW()-1,FALSE))</f>
        <v>183.07260479999999</v>
      </c>
      <c r="R27">
        <f ca="1">IF(AND(ISNUMBER($R$78),$B$53=1),$R$78,HLOOKUP(INDIRECT(ADDRESS(2,COLUMN())),OFFSET($BM$2,0,0,ROW()-1,59),ROW()-1,FALSE))</f>
        <v>90.773950319999997</v>
      </c>
      <c r="S27">
        <f ca="1">IF(AND(ISNUMBER($S$78),$B$53=1),$S$78,HLOOKUP(INDIRECT(ADDRESS(2,COLUMN())),OFFSET($BM$2,0,0,ROW()-1,59),ROW()-1,FALSE))</f>
        <v>141.65434020000001</v>
      </c>
      <c r="T27">
        <f ca="1">IF(AND(ISNUMBER($T$78),$B$53=1),$T$78,HLOOKUP(INDIRECT(ADDRESS(2,COLUMN())),OFFSET($BM$2,0,0,ROW()-1,59),ROW()-1,FALSE))</f>
        <v>145.0336763</v>
      </c>
      <c r="U27">
        <f ca="1">IF(AND(ISNUMBER($U$78),$B$53=1),$U$78,HLOOKUP(INDIRECT(ADDRESS(2,COLUMN())),OFFSET($BM$2,0,0,ROW()-1,59),ROW()-1,FALSE))</f>
        <v>179.6872443</v>
      </c>
      <c r="V27">
        <f ca="1">IF(AND(ISNUMBER($V$78),$B$53=1),$V$78,HLOOKUP(INDIRECT(ADDRESS(2,COLUMN())),OFFSET($BM$2,0,0,ROW()-1,59),ROW()-1,FALSE))</f>
        <v>113.6988511</v>
      </c>
      <c r="W27">
        <f ca="1">IF(AND(ISNUMBER($W$78),$B$53=1),$W$78,HLOOKUP(INDIRECT(ADDRESS(2,COLUMN())),OFFSET($BM$2,0,0,ROW()-1,59),ROW()-1,FALSE))</f>
        <v>130.32899660000001</v>
      </c>
      <c r="X27">
        <f ca="1">IF(AND(ISNUMBER($X$78),$B$53=1),$X$78,HLOOKUP(INDIRECT(ADDRESS(2,COLUMN())),OFFSET($BM$2,0,0,ROW()-1,59),ROW()-1,FALSE))</f>
        <v>176.5063729</v>
      </c>
      <c r="Y27">
        <f ca="1">IF(AND(ISNUMBER($Y$78),$B$53=1),$Y$78,HLOOKUP(INDIRECT(ADDRESS(2,COLUMN())),OFFSET($BM$2,0,0,ROW()-1,59),ROW()-1,FALSE))</f>
        <v>191.27847170000001</v>
      </c>
      <c r="Z27">
        <f ca="1">IF(AND(ISNUMBER($Z$78),$B$53=1),$Z$78,HLOOKUP(INDIRECT(ADDRESS(2,COLUMN())),OFFSET($BM$2,0,0,ROW()-1,59),ROW()-1,FALSE))</f>
        <v>91.758495339999996</v>
      </c>
      <c r="AA27">
        <f ca="1">IF(AND(ISNUMBER($AA$78),$B$53=1),$AA$78,HLOOKUP(INDIRECT(ADDRESS(2,COLUMN())),OFFSET($BM$2,0,0,ROW()-1,59),ROW()-1,FALSE))</f>
        <v>152.69811490000001</v>
      </c>
      <c r="AB27">
        <f ca="1">IF(AND(ISNUMBER($AB$78),$B$53=1),$AB$78,HLOOKUP(INDIRECT(ADDRESS(2,COLUMN())),OFFSET($BM$2,0,0,ROW()-1,59),ROW()-1,FALSE))</f>
        <v>211.9746519</v>
      </c>
      <c r="AC27">
        <f ca="1">IF(AND(ISNUMBER($AC$78),$B$53=1),$AC$78,HLOOKUP(INDIRECT(ADDRESS(2,COLUMN())),OFFSET($BM$2,0,0,ROW()-1,59),ROW()-1,FALSE))</f>
        <v>285.70711210000002</v>
      </c>
      <c r="AD27">
        <f ca="1">IF(AND(ISNUMBER($AD$78),$B$53=1),$AD$78,HLOOKUP(INDIRECT(ADDRESS(2,COLUMN())),OFFSET($BM$2,0,0,ROW()-1,59),ROW()-1,FALSE))</f>
        <v>225.9475353</v>
      </c>
      <c r="AE27">
        <f ca="1">IF(AND(ISNUMBER($AE$78),$B$53=1),$AE$78,HLOOKUP(INDIRECT(ADDRESS(2,COLUMN())),OFFSET($BM$2,0,0,ROW()-1,59),ROW()-1,FALSE))</f>
        <v>314.03820200000001</v>
      </c>
      <c r="AF27">
        <f ca="1">IF(AND(ISNUMBER($AF$78),$B$53=1),$AF$78,HLOOKUP(INDIRECT(ADDRESS(2,COLUMN())),OFFSET($BM$2,0,0,ROW()-1,59),ROW()-1,FALSE))</f>
        <v>327.31180289999998</v>
      </c>
      <c r="AG27">
        <f ca="1">IF(AND(ISNUMBER($AG$78),$B$53=1),$AG$78,HLOOKUP(INDIRECT(ADDRESS(2,COLUMN())),OFFSET($BM$2,0,0,ROW()-1,59),ROW()-1,FALSE))</f>
        <v>462.33191599999998</v>
      </c>
      <c r="AH27">
        <f ca="1">IF(AND(ISNUMBER($AH$78),$B$53=1),$AH$78,HLOOKUP(INDIRECT(ADDRESS(2,COLUMN())),OFFSET($BM$2,0,0,ROW()-1,59),ROW()-1,FALSE))</f>
        <v>283.3914398</v>
      </c>
      <c r="AI27">
        <f ca="1">IF(AND(ISNUMBER($AI$78),$B$53=1),$AI$78,HLOOKUP(INDIRECT(ADDRESS(2,COLUMN())),OFFSET($BM$2,0,0,ROW()-1,59),ROW()-1,FALSE))</f>
        <v>246.83119590000001</v>
      </c>
      <c r="AJ27">
        <f ca="1">IF(AND(ISNUMBER($AJ$78),$B$53=1),$AJ$78,HLOOKUP(INDIRECT(ADDRESS(2,COLUMN())),OFFSET($BM$2,0,0,ROW()-1,59),ROW()-1,FALSE))</f>
        <v>405.35258640000001</v>
      </c>
      <c r="AK27">
        <f ca="1">IF(AND(ISNUMBER($AK$78),$B$53=1),$AK$78,HLOOKUP(INDIRECT(ADDRESS(2,COLUMN())),OFFSET($BM$2,0,0,ROW()-1,59),ROW()-1,FALSE))</f>
        <v>384.87049519999999</v>
      </c>
      <c r="AL27">
        <f ca="1">IF(AND(ISNUMBER($AL$78),$B$53=1),$AL$78,HLOOKUP(INDIRECT(ADDRESS(2,COLUMN())),OFFSET($BM$2,0,0,ROW()-1,59),ROW()-1,FALSE))</f>
        <v>248.4566403</v>
      </c>
      <c r="AM27">
        <f ca="1">IF(AND(ISNUMBER($AM$78),$B$53=1),$AM$78,HLOOKUP(INDIRECT(ADDRESS(2,COLUMN())),OFFSET($BM$2,0,0,ROW()-1,59),ROW()-1,FALSE))</f>
        <v>237.42732549999999</v>
      </c>
      <c r="AN27">
        <f ca="1">IF(AND(ISNUMBER($AN$78),$B$53=1),$AN$78,HLOOKUP(INDIRECT(ADDRESS(2,COLUMN())),OFFSET($BM$2,0,0,ROW()-1,59),ROW()-1,FALSE))</f>
        <v>287.4589062</v>
      </c>
      <c r="AO27">
        <f ca="1">IF(AND(ISNUMBER($AO$78),$B$53=1),$AO$78,HLOOKUP(INDIRECT(ADDRESS(2,COLUMN())),OFFSET($BM$2,0,0,ROW()-1,59),ROW()-1,FALSE))</f>
        <v>341.17936359999999</v>
      </c>
      <c r="AP27">
        <f ca="1">IF(AND(ISNUMBER($AP$78),$B$53=1),$AP$78,HLOOKUP(INDIRECT(ADDRESS(2,COLUMN())),OFFSET($BM$2,0,0,ROW()-1,59),ROW()-1,FALSE))</f>
        <v>201.76325629999999</v>
      </c>
      <c r="AQ27">
        <f ca="1">IF(AND(ISNUMBER($AQ$78),$B$53=1),$AQ$78,HLOOKUP(INDIRECT(ADDRESS(2,COLUMN())),OFFSET($BM$2,0,0,ROW()-1,59),ROW()-1,FALSE))</f>
        <v>367.62978659999999</v>
      </c>
      <c r="AR27">
        <f ca="1">IF(AND(ISNUMBER($AR$78),$B$53=1),$AR$78,HLOOKUP(INDIRECT(ADDRESS(2,COLUMN())),OFFSET($BM$2,0,0,ROW()-1,59),ROW()-1,FALSE))</f>
        <v>497.25592660000001</v>
      </c>
      <c r="AS27">
        <f ca="1">IF(AND(ISNUMBER($AS$78),$B$53=1),$AS$78,HLOOKUP(INDIRECT(ADDRESS(2,COLUMN())),OFFSET($BM$2,0,0,ROW()-1,59),ROW()-1,FALSE))</f>
        <v>371.50444479999999</v>
      </c>
      <c r="AT27">
        <f ca="1">IF(AND(ISNUMBER($AT$78),$B$53=1),$AT$78,HLOOKUP(INDIRECT(ADDRESS(2,COLUMN())),OFFSET($BM$2,0,0,ROW()-1,59),ROW()-1,FALSE))</f>
        <v>307.61027289999998</v>
      </c>
      <c r="AU27" t="str">
        <f ca="1">IF(AND(ISNUMBER($AU$78),$B$53=1),$AU$78,HLOOKUP(INDIRECT(ADDRESS(2,COLUMN())),OFFSET($BM$2,0,0,ROW()-1,59),ROW()-1,FALSE))</f>
        <v/>
      </c>
      <c r="AV27">
        <f ca="1">IF(AND(ISNUMBER($AV$78),$B$53=1),$AV$78,HLOOKUP(INDIRECT(ADDRESS(2,COLUMN())),OFFSET($BM$2,0,0,ROW()-1,59),ROW()-1,FALSE))</f>
        <v>996.11807539999995</v>
      </c>
      <c r="AW27" t="str">
        <f ca="1">IF(AND(ISNUMBER($AW$78),$B$53=1),$AW$78,HLOOKUP(INDIRECT(ADDRESS(2,COLUMN())),OFFSET($BM$2,0,0,ROW()-1,59),ROW()-1,FALSE))</f>
        <v/>
      </c>
      <c r="AX27" t="str">
        <f ca="1">IF(AND(ISNUMBER($AX$78),$B$53=1),$AX$78,HLOOKUP(INDIRECT(ADDRESS(2,COLUMN())),OFFSET($BM$2,0,0,ROW()-1,59),ROW()-1,FALSE))</f>
        <v/>
      </c>
      <c r="AY27" t="str">
        <f ca="1">IF(AND(ISNUMBER($AY$78),$B$53=1),$AY$78,HLOOKUP(INDIRECT(ADDRESS(2,COLUMN())),OFFSET($BM$2,0,0,ROW()-1,59),ROW()-1,FALSE))</f>
        <v/>
      </c>
      <c r="AZ27" t="str">
        <f ca="1">IF(AND(ISNUMBER($AZ$78),$B$53=1),$AZ$78,HLOOKUP(INDIRECT(ADDRESS(2,COLUMN())),OFFSET($BM$2,0,0,ROW()-1,59),ROW()-1,FALSE))</f>
        <v/>
      </c>
      <c r="BA27" t="str">
        <f ca="1">IF(AND(ISNUMBER($BA$78),$B$53=1),$BA$78,HLOOKUP(INDIRECT(ADDRESS(2,COLUMN())),OFFSET($BM$2,0,0,ROW()-1,59),ROW()-1,FALSE))</f>
        <v/>
      </c>
      <c r="BB27" t="str">
        <f ca="1">IF(AND(ISNUMBER($BB$78),$B$53=1),$BB$78,HLOOKUP(INDIRECT(ADDRESS(2,COLUMN())),OFFSET($BM$2,0,0,ROW()-1,59),ROW()-1,FALSE))</f>
        <v/>
      </c>
      <c r="BC27" t="str">
        <f ca="1">IF(AND(ISNUMBER($BC$78),$B$53=1),$BC$78,HLOOKUP(INDIRECT(ADDRESS(2,COLUMN())),OFFSET($BM$2,0,0,ROW()-1,59),ROW()-1,FALSE))</f>
        <v/>
      </c>
      <c r="BD27" t="str">
        <f ca="1">IF(AND(ISNUMBER($BD$78),$B$53=1),$BD$78,HLOOKUP(INDIRECT(ADDRESS(2,COLUMN())),OFFSET($BM$2,0,0,ROW()-1,59),ROW()-1,FALSE))</f>
        <v/>
      </c>
      <c r="BE27" t="str">
        <f ca="1">IF(AND(ISNUMBER($BE$78),$B$53=1),$BE$78,HLOOKUP(INDIRECT(ADDRESS(2,COLUMN())),OFFSET($BM$2,0,0,ROW()-1,59),ROW()-1,FALSE))</f>
        <v/>
      </c>
      <c r="BF27" t="str">
        <f ca="1">IF(AND(ISNUMBER($BF$78),$B$53=1),$BF$78,HLOOKUP(INDIRECT(ADDRESS(2,COLUMN())),OFFSET($BM$2,0,0,ROW()-1,59),ROW()-1,FALSE))</f>
        <v/>
      </c>
      <c r="BG27" t="str">
        <f ca="1">IF(AND(ISNUMBER($BG$78),$B$53=1),$BG$78,HLOOKUP(INDIRECT(ADDRESS(2,COLUMN())),OFFSET($BM$2,0,0,ROW()-1,59),ROW()-1,FALSE))</f>
        <v/>
      </c>
      <c r="BH27" t="str">
        <f ca="1">IF(AND(ISNUMBER($BH$78),$B$53=1),$BH$78,HLOOKUP(INDIRECT(ADDRESS(2,COLUMN())),OFFSET($BM$2,0,0,ROW()-1,59),ROW()-1,FALSE))</f>
        <v/>
      </c>
      <c r="BI27" t="str">
        <f ca="1">IF(AND(ISNUMBER($BI$78),$B$53=1),$BI$78,HLOOKUP(INDIRECT(ADDRESS(2,COLUMN())),OFFSET($BM$2,0,0,ROW()-1,59),ROW()-1,FALSE))</f>
        <v/>
      </c>
      <c r="BJ27" t="str">
        <f ca="1">IF(AND(ISNUMBER($BJ$78),$B$53=1),$BJ$78,HLOOKUP(INDIRECT(ADDRESS(2,COLUMN())),OFFSET($BM$2,0,0,ROW()-1,59),ROW()-1,FALSE))</f>
        <v/>
      </c>
      <c r="BK27" t="str">
        <f ca="1">IF(AND(ISNUMBER($BK$78),$B$53=1),$BK$78,HLOOKUP(INDIRECT(ADDRESS(2,COLUMN())),OFFSET($BM$2,0,0,ROW()-1,59),ROW()-1,FALSE))</f>
        <v/>
      </c>
      <c r="BL27" t="str">
        <f ca="1">IF(AND(ISNUMBER($BL$78),$B$53=1),$BL$78,HLOOKUP(INDIRECT(ADDRESS(2,COLUMN())),OFFSET($BM$2,0,0,ROW()-1,59),ROW()-1,FALSE))</f>
        <v/>
      </c>
      <c r="BM27">
        <f>126.8526493</f>
        <v>126.8526493</v>
      </c>
      <c r="BN27">
        <f>133.6446935</f>
        <v>133.64469349999999</v>
      </c>
      <c r="BO27">
        <f>169.5663132</f>
        <v>169.5663132</v>
      </c>
      <c r="BP27">
        <f>177.2551883</f>
        <v>177.25518829999999</v>
      </c>
      <c r="BQ27">
        <f>116.9389206</f>
        <v>116.9389206</v>
      </c>
      <c r="BR27">
        <f>117.1640859</f>
        <v>117.1640859</v>
      </c>
      <c r="BS27">
        <f>153.8940677</f>
        <v>153.89406769999999</v>
      </c>
      <c r="BT27">
        <f>176.842837</f>
        <v>176.842837</v>
      </c>
      <c r="BU27">
        <f>102.5943786</f>
        <v>102.5943786</v>
      </c>
      <c r="BV27">
        <f>106.6675376</f>
        <v>106.6675376</v>
      </c>
      <c r="BW27">
        <f>128.8341439</f>
        <v>128.83414389999999</v>
      </c>
      <c r="BX27">
        <f>183.0726048</f>
        <v>183.07260479999999</v>
      </c>
      <c r="BY27">
        <f>90.77395032</f>
        <v>90.773950319999997</v>
      </c>
      <c r="BZ27">
        <f>141.6543402</f>
        <v>141.65434020000001</v>
      </c>
      <c r="CA27">
        <f>145.0336763</f>
        <v>145.0336763</v>
      </c>
      <c r="CB27">
        <f>179.6872443</f>
        <v>179.6872443</v>
      </c>
      <c r="CC27">
        <f>113.6988511</f>
        <v>113.6988511</v>
      </c>
      <c r="CD27">
        <f>130.3289966</f>
        <v>130.32899660000001</v>
      </c>
      <c r="CE27">
        <f>176.5063729</f>
        <v>176.5063729</v>
      </c>
      <c r="CF27">
        <f>191.2784717</f>
        <v>191.27847170000001</v>
      </c>
      <c r="CG27">
        <f>91.75849534</f>
        <v>91.758495339999996</v>
      </c>
      <c r="CH27">
        <f>152.6981149</f>
        <v>152.69811490000001</v>
      </c>
      <c r="CI27">
        <f>211.9746519</f>
        <v>211.9746519</v>
      </c>
      <c r="CJ27">
        <f>285.7071121</f>
        <v>285.70711210000002</v>
      </c>
      <c r="CK27">
        <f>225.9475353</f>
        <v>225.9475353</v>
      </c>
      <c r="CL27">
        <f>314.038202</f>
        <v>314.03820200000001</v>
      </c>
      <c r="CM27">
        <f>327.3118029</f>
        <v>327.31180289999998</v>
      </c>
      <c r="CN27">
        <f>462.331916</f>
        <v>462.33191599999998</v>
      </c>
      <c r="CO27">
        <f>283.3914398</f>
        <v>283.3914398</v>
      </c>
      <c r="CP27">
        <f>246.8311959</f>
        <v>246.83119590000001</v>
      </c>
      <c r="CQ27">
        <f>405.3525864</f>
        <v>405.35258640000001</v>
      </c>
      <c r="CR27">
        <f>384.8704952</f>
        <v>384.87049519999999</v>
      </c>
      <c r="CS27">
        <f>248.4566403</f>
        <v>248.4566403</v>
      </c>
      <c r="CT27">
        <f>237.4273255</f>
        <v>237.42732549999999</v>
      </c>
      <c r="CU27">
        <f>287.4589062</f>
        <v>287.4589062</v>
      </c>
      <c r="CV27">
        <f>341.1793636</f>
        <v>341.17936359999999</v>
      </c>
      <c r="CW27">
        <f>201.7632563</f>
        <v>201.76325629999999</v>
      </c>
      <c r="CX27">
        <f>367.6297866</f>
        <v>367.62978659999999</v>
      </c>
      <c r="CY27">
        <f>497.2559266</f>
        <v>497.25592660000001</v>
      </c>
      <c r="CZ27">
        <f>371.5044448</f>
        <v>371.50444479999999</v>
      </c>
      <c r="DA27">
        <f>307.6102729</f>
        <v>307.61027289999998</v>
      </c>
      <c r="DB27" t="str">
        <f>""</f>
        <v/>
      </c>
      <c r="DC27">
        <f>996.1180754</f>
        <v>996.11807539999995</v>
      </c>
      <c r="DD27" t="str">
        <f>""</f>
        <v/>
      </c>
      <c r="DE27" t="str">
        <f>""</f>
        <v/>
      </c>
      <c r="DF27" t="str">
        <f>""</f>
        <v/>
      </c>
      <c r="DG27" t="str">
        <f>""</f>
        <v/>
      </c>
      <c r="DH27" t="str">
        <f>""</f>
        <v/>
      </c>
      <c r="DI27" t="str">
        <f>""</f>
        <v/>
      </c>
      <c r="DJ27" t="str">
        <f>""</f>
        <v/>
      </c>
      <c r="DK27" t="str">
        <f>""</f>
        <v/>
      </c>
      <c r="DL27" t="str">
        <f>""</f>
        <v/>
      </c>
      <c r="DM27" t="str">
        <f>""</f>
        <v/>
      </c>
      <c r="DN27" t="str">
        <f>""</f>
        <v/>
      </c>
      <c r="DO27" t="str">
        <f>""</f>
        <v/>
      </c>
      <c r="DP27" t="str">
        <f>""</f>
        <v/>
      </c>
      <c r="DQ27" t="str">
        <f>""</f>
        <v/>
      </c>
      <c r="DR27" t="str">
        <f>""</f>
        <v/>
      </c>
      <c r="DS27" t="str">
        <f>""</f>
        <v/>
      </c>
    </row>
    <row r="28" spans="1:123" x14ac:dyDescent="0.25">
      <c r="A28" t="str">
        <f>"By Geography ($M) - Mazda"</f>
        <v>By Geography ($M) - Mazda</v>
      </c>
      <c r="B28" t="str">
        <f>"7261 JP Equity"</f>
        <v>7261 JP Equity</v>
      </c>
      <c r="C28" t="str">
        <f>"IS010"</f>
        <v>IS010</v>
      </c>
      <c r="D28" t="str">
        <f>"SALES_REV_TURN"</f>
        <v>SALES_REV_TURN</v>
      </c>
      <c r="E28" t="str">
        <f t="shared" si="1"/>
        <v>Dynamic</v>
      </c>
      <c r="F28">
        <f ca="1">IF(AND(ISNUMBER($F$79),$B$53=1),$F$79,HLOOKUP(INDIRECT(ADDRESS(2,COLUMN())),OFFSET($BM$2,0,0,ROW()-1,59),ROW()-1,FALSE))</f>
        <v>7925.8067540000002</v>
      </c>
      <c r="G28">
        <f ca="1">IF(AND(ISNUMBER($G$79),$B$53=1),$G$79,HLOOKUP(INDIRECT(ADDRESS(2,COLUMN())),OFFSET($BM$2,0,0,ROW()-1,59),ROW()-1,FALSE))</f>
        <v>7677.8158830000002</v>
      </c>
      <c r="H28">
        <f ca="1">IF(AND(ISNUMBER($H$79),$B$53=1),$H$79,HLOOKUP(INDIRECT(ADDRESS(2,COLUMN())),OFFSET($BM$2,0,0,ROW()-1,59),ROW()-1,FALSE))</f>
        <v>8002.5309180000004</v>
      </c>
      <c r="I28">
        <f ca="1">IF(AND(ISNUMBER($I$79),$B$53=1),$I$79,HLOOKUP(INDIRECT(ADDRESS(2,COLUMN())),OFFSET($BM$2,0,0,ROW()-1,59),ROW()-1,FALSE))</f>
        <v>8549.7562930000004</v>
      </c>
      <c r="J28">
        <f ca="1">IF(AND(ISNUMBER($J$79),$B$53=1),$J$79,HLOOKUP(INDIRECT(ADDRESS(2,COLUMN())),OFFSET($BM$2,0,0,ROW()-1,59),ROW()-1,FALSE))</f>
        <v>7896.0437030000003</v>
      </c>
      <c r="K28">
        <f ca="1">IF(AND(ISNUMBER($K$79),$B$53=1),$K$79,HLOOKUP(INDIRECT(ADDRESS(2,COLUMN())),OFFSET($BM$2,0,0,ROW()-1,59),ROW()-1,FALSE))</f>
        <v>7701.9344010000004</v>
      </c>
      <c r="L28">
        <f ca="1">IF(AND(ISNUMBER($L$79),$B$53=1),$L$79,HLOOKUP(INDIRECT(ADDRESS(2,COLUMN())),OFFSET($BM$2,0,0,ROW()-1,59),ROW()-1,FALSE))</f>
        <v>7218.2167509999999</v>
      </c>
      <c r="M28">
        <f ca="1">IF(AND(ISNUMBER($M$79),$B$53=1),$M$79,HLOOKUP(INDIRECT(ADDRESS(2,COLUMN())),OFFSET($BM$2,0,0,ROW()-1,59),ROW()-1,FALSE))</f>
        <v>7622.7847359999996</v>
      </c>
      <c r="N28">
        <f ca="1">IF(AND(ISNUMBER($N$79),$B$53=1),$N$79,HLOOKUP(INDIRECT(ADDRESS(2,COLUMN())),OFFSET($BM$2,0,0,ROW()-1,59),ROW()-1,FALSE))</f>
        <v>7339.7248079999999</v>
      </c>
      <c r="O28">
        <f ca="1">IF(AND(ISNUMBER($O$79),$B$53=1),$O$79,HLOOKUP(INDIRECT(ADDRESS(2,COLUMN())),OFFSET($BM$2,0,0,ROW()-1,59),ROW()-1,FALSE))</f>
        <v>7525.5042219999996</v>
      </c>
      <c r="P28">
        <f ca="1">IF(AND(ISNUMBER($P$79),$B$53=1),$P$79,HLOOKUP(INDIRECT(ADDRESS(2,COLUMN())),OFFSET($BM$2,0,0,ROW()-1,59),ROW()-1,FALSE))</f>
        <v>7194.3581169999998</v>
      </c>
      <c r="Q28">
        <f ca="1">IF(AND(ISNUMBER($Q$79),$B$53=1),$Q$79,HLOOKUP(INDIRECT(ADDRESS(2,COLUMN())),OFFSET($BM$2,0,0,ROW()-1,59),ROW()-1,FALSE))</f>
        <v>7457.0046140000004</v>
      </c>
      <c r="R28">
        <f ca="1">IF(AND(ISNUMBER($R$79),$B$53=1),$R$79,HLOOKUP(INDIRECT(ADDRESS(2,COLUMN())),OFFSET($BM$2,0,0,ROW()-1,59),ROW()-1,FALSE))</f>
        <v>6979.0999810000003</v>
      </c>
      <c r="S28">
        <f ca="1">IF(AND(ISNUMBER($S$79),$B$53=1),$S$79,HLOOKUP(INDIRECT(ADDRESS(2,COLUMN())),OFFSET($BM$2,0,0,ROW()-1,59),ROW()-1,FALSE))</f>
        <v>7324.4792079999997</v>
      </c>
      <c r="T28">
        <f ca="1">IF(AND(ISNUMBER($T$79),$B$53=1),$T$79,HLOOKUP(INDIRECT(ADDRESS(2,COLUMN())),OFFSET($BM$2,0,0,ROW()-1,59),ROW()-1,FALSE))</f>
        <v>6643.073155</v>
      </c>
      <c r="U28">
        <f ca="1">IF(AND(ISNUMBER($U$79),$B$53=1),$U$79,HLOOKUP(INDIRECT(ADDRESS(2,COLUMN())),OFFSET($BM$2,0,0,ROW()-1,59),ROW()-1,FALSE))</f>
        <v>7052.0949460000002</v>
      </c>
      <c r="V28">
        <f ca="1">IF(AND(ISNUMBER($V$79),$B$53=1),$V$79,HLOOKUP(INDIRECT(ADDRESS(2,COLUMN())),OFFSET($BM$2,0,0,ROW()-1,59),ROW()-1,FALSE))</f>
        <v>6471.3508599999996</v>
      </c>
      <c r="W28">
        <f ca="1">IF(AND(ISNUMBER($W$79),$B$53=1),$W$79,HLOOKUP(INDIRECT(ADDRESS(2,COLUMN())),OFFSET($BM$2,0,0,ROW()-1,59),ROW()-1,FALSE))</f>
        <v>7199.3756960000001</v>
      </c>
      <c r="X28">
        <f ca="1">IF(AND(ISNUMBER($X$79),$B$53=1),$X$79,HLOOKUP(INDIRECT(ADDRESS(2,COLUMN())),OFFSET($BM$2,0,0,ROW()-1,59),ROW()-1,FALSE))</f>
        <v>6910.6020349999999</v>
      </c>
      <c r="Y28">
        <f ca="1">IF(AND(ISNUMBER($Y$79),$B$53=1),$Y$79,HLOOKUP(INDIRECT(ADDRESS(2,COLUMN())),OFFSET($BM$2,0,0,ROW()-1,59),ROW()-1,FALSE))</f>
        <v>7315.5989570000002</v>
      </c>
      <c r="Z28">
        <f ca="1">IF(AND(ISNUMBER($Z$79),$B$53=1),$Z$79,HLOOKUP(INDIRECT(ADDRESS(2,COLUMN())),OFFSET($BM$2,0,0,ROW()-1,59),ROW()-1,FALSE))</f>
        <v>6833.1438740000003</v>
      </c>
      <c r="AA28">
        <f ca="1">IF(AND(ISNUMBER($AA$79),$B$53=1),$AA$79,HLOOKUP(INDIRECT(ADDRESS(2,COLUMN())),OFFSET($BM$2,0,0,ROW()-1,59),ROW()-1,FALSE))</f>
        <v>6454.3233769999997</v>
      </c>
      <c r="AB28">
        <f ca="1">IF(AND(ISNUMBER($AB$79),$B$53=1),$AB$79,HLOOKUP(INDIRECT(ADDRESS(2,COLUMN())),OFFSET($BM$2,0,0,ROW()-1,59),ROW()-1,FALSE))</f>
        <v>6242.5784890000004</v>
      </c>
      <c r="AC28">
        <f ca="1">IF(AND(ISNUMBER($AC$79),$B$53=1),$AC$79,HLOOKUP(INDIRECT(ADDRESS(2,COLUMN())),OFFSET($BM$2,0,0,ROW()-1,59),ROW()-1,FALSE))</f>
        <v>7274.6369910000003</v>
      </c>
      <c r="AD28">
        <f ca="1">IF(AND(ISNUMBER($AD$79),$B$53=1),$AD$79,HLOOKUP(INDIRECT(ADDRESS(2,COLUMN())),OFFSET($BM$2,0,0,ROW()-1,59),ROW()-1,FALSE))</f>
        <v>6305.3237609999996</v>
      </c>
      <c r="AE28">
        <f ca="1">IF(AND(ISNUMBER($AE$79),$B$53=1),$AE$79,HLOOKUP(INDIRECT(ADDRESS(2,COLUMN())),OFFSET($BM$2,0,0,ROW()-1,59),ROW()-1,FALSE))</f>
        <v>6573.6272680000002</v>
      </c>
      <c r="AF28">
        <f ca="1">IF(AND(ISNUMBER($AF$79),$B$53=1),$AF$79,HLOOKUP(INDIRECT(ADDRESS(2,COLUMN())),OFFSET($BM$2,0,0,ROW()-1,59),ROW()-1,FALSE))</f>
        <v>6327.5993680000001</v>
      </c>
      <c r="AG28">
        <f ca="1">IF(AND(ISNUMBER($AG$79),$B$53=1),$AG$79,HLOOKUP(INDIRECT(ADDRESS(2,COLUMN())),OFFSET($BM$2,0,0,ROW()-1,59),ROW()-1,FALSE))</f>
        <v>7757.1320779999996</v>
      </c>
      <c r="AH28">
        <f ca="1">IF(AND(ISNUMBER($AH$79),$B$53=1),$AH$79,HLOOKUP(INDIRECT(ADDRESS(2,COLUMN())),OFFSET($BM$2,0,0,ROW()-1,59),ROW()-1,FALSE))</f>
        <v>5936.5063280000004</v>
      </c>
      <c r="AI28">
        <f ca="1">IF(AND(ISNUMBER($AI$79),$B$53=1),$AI$79,HLOOKUP(INDIRECT(ADDRESS(2,COLUMN())),OFFSET($BM$2,0,0,ROW()-1,59),ROW()-1,FALSE))</f>
        <v>7096.123227</v>
      </c>
      <c r="AJ28">
        <f ca="1">IF(AND(ISNUMBER($AJ$79),$B$53=1),$AJ$79,HLOOKUP(INDIRECT(ADDRESS(2,COLUMN())),OFFSET($BM$2,0,0,ROW()-1,59),ROW()-1,FALSE))</f>
        <v>5006.2749439999998</v>
      </c>
      <c r="AK28">
        <f ca="1">IF(AND(ISNUMBER($AK$79),$B$53=1),$AK$79,HLOOKUP(INDIRECT(ADDRESS(2,COLUMN())),OFFSET($BM$2,0,0,ROW()-1,59),ROW()-1,FALSE))</f>
        <v>7391.113942</v>
      </c>
      <c r="AL28">
        <f ca="1">IF(AND(ISNUMBER($AL$79),$B$53=1),$AL$79,HLOOKUP(INDIRECT(ADDRESS(2,COLUMN())),OFFSET($BM$2,0,0,ROW()-1,59),ROW()-1,FALSE))</f>
        <v>6787.9938949999996</v>
      </c>
      <c r="AM28">
        <f ca="1">IF(AND(ISNUMBER($AM$79),$B$53=1),$AM$79,HLOOKUP(INDIRECT(ADDRESS(2,COLUMN())),OFFSET($BM$2,0,0,ROW()-1,59),ROW()-1,FALSE))</f>
        <v>6761.3540110000004</v>
      </c>
      <c r="AN28">
        <f ca="1">IF(AND(ISNUMBER($AN$79),$B$53=1),$AN$79,HLOOKUP(INDIRECT(ADDRESS(2,COLUMN())),OFFSET($BM$2,0,0,ROW()-1,59),ROW()-1,FALSE))</f>
        <v>6279.9759530000001</v>
      </c>
      <c r="AO28">
        <f ca="1">IF(AND(ISNUMBER($AO$79),$B$53=1),$AO$79,HLOOKUP(INDIRECT(ADDRESS(2,COLUMN())),OFFSET($BM$2,0,0,ROW()-1,59),ROW()-1,FALSE))</f>
        <v>6794.7788259999998</v>
      </c>
      <c r="AP28">
        <f ca="1">IF(AND(ISNUMBER($AP$79),$B$53=1),$AP$79,HLOOKUP(INDIRECT(ADDRESS(2,COLUMN())),OFFSET($BM$2,0,0,ROW()-1,59),ROW()-1,FALSE))</f>
        <v>6207.1898579999997</v>
      </c>
      <c r="AQ28">
        <f ca="1">IF(AND(ISNUMBER($AQ$79),$B$53=1),$AQ$79,HLOOKUP(INDIRECT(ADDRESS(2,COLUMN())),OFFSET($BM$2,0,0,ROW()-1,59),ROW()-1,FALSE))</f>
        <v>6011.196696</v>
      </c>
      <c r="AR28">
        <f ca="1">IF(AND(ISNUMBER($AR$79),$B$53=1),$AR$79,HLOOKUP(INDIRECT(ADDRESS(2,COLUMN())),OFFSET($BM$2,0,0,ROW()-1,59),ROW()-1,FALSE))</f>
        <v>4400.4529119999997</v>
      </c>
      <c r="AS28">
        <f ca="1">IF(AND(ISNUMBER($AS$79),$B$53=1),$AS$79,HLOOKUP(INDIRECT(ADDRESS(2,COLUMN())),OFFSET($BM$2,0,0,ROW()-1,59),ROW()-1,FALSE))</f>
        <v>4789.6181939999997</v>
      </c>
      <c r="AT28">
        <f ca="1">IF(AND(ISNUMBER($AT$79),$B$53=1),$AT$79,HLOOKUP(INDIRECT(ADDRESS(2,COLUMN())),OFFSET($BM$2,0,0,ROW()-1,59),ROW()-1,FALSE))</f>
        <v>5345.415798</v>
      </c>
      <c r="AU28">
        <f ca="1">IF(AND(ISNUMBER($AU$79),$B$53=1),$AU$79,HLOOKUP(INDIRECT(ADDRESS(2,COLUMN())),OFFSET($BM$2,0,0,ROW()-1,59),ROW()-1,FALSE))</f>
        <v>7471.5442650000005</v>
      </c>
      <c r="AV28">
        <f ca="1">IF(AND(ISNUMBER($AV$79),$B$53=1),$AV$79,HLOOKUP(INDIRECT(ADDRESS(2,COLUMN())),OFFSET($BM$2,0,0,ROW()-1,59),ROW()-1,FALSE))</f>
        <v>7379.9538629999997</v>
      </c>
      <c r="AW28">
        <f ca="1">IF(AND(ISNUMBER($AW$79),$B$53=1),$AW$79,HLOOKUP(INDIRECT(ADDRESS(2,COLUMN())),OFFSET($BM$2,0,0,ROW()-1,59),ROW()-1,FALSE))</f>
        <v>9215.6214380000001</v>
      </c>
      <c r="AX28">
        <f ca="1">IF(AND(ISNUMBER($AX$79),$B$53=1),$AX$79,HLOOKUP(INDIRECT(ADDRESS(2,COLUMN())),OFFSET($BM$2,0,0,ROW()-1,59),ROW()-1,FALSE))</f>
        <v>7514.6274750000002</v>
      </c>
      <c r="AY28">
        <f ca="1">IF(AND(ISNUMBER($AY$79),$B$53=1),$AY$79,HLOOKUP(INDIRECT(ADDRESS(2,COLUMN())),OFFSET($BM$2,0,0,ROW()-1,59),ROW()-1,FALSE))</f>
        <v>7152.01926</v>
      </c>
      <c r="AZ28">
        <f ca="1">IF(AND(ISNUMBER($AZ$79),$B$53=1),$AZ$79,HLOOKUP(INDIRECT(ADDRESS(2,COLUMN())),OFFSET($BM$2,0,0,ROW()-1,59),ROW()-1,FALSE))</f>
        <v>6741.5726830000003</v>
      </c>
      <c r="BA28">
        <f ca="1">IF(AND(ISNUMBER($BA$79),$B$53=1),$BA$79,HLOOKUP(INDIRECT(ADDRESS(2,COLUMN())),OFFSET($BM$2,0,0,ROW()-1,59),ROW()-1,FALSE))</f>
        <v>8026.065791</v>
      </c>
      <c r="BB28">
        <f ca="1">IF(AND(ISNUMBER($BB$79),$B$53=1),$BB$79,HLOOKUP(INDIRECT(ADDRESS(2,COLUMN())),OFFSET($BM$2,0,0,ROW()-1,59),ROW()-1,FALSE))</f>
        <v>6522.8652579999998</v>
      </c>
      <c r="BC28">
        <f ca="1">IF(AND(ISNUMBER($BC$79),$B$53=1),$BC$79,HLOOKUP(INDIRECT(ADDRESS(2,COLUMN())),OFFSET($BM$2,0,0,ROW()-1,59),ROW()-1,FALSE))</f>
        <v>6770.3083589999997</v>
      </c>
      <c r="BD28">
        <f ca="1">IF(AND(ISNUMBER($BD$79),$B$53=1),$BD$79,HLOOKUP(INDIRECT(ADDRESS(2,COLUMN())),OFFSET($BM$2,0,0,ROW()-1,59),ROW()-1,FALSE))</f>
        <v>6423.7522330000002</v>
      </c>
      <c r="BE28">
        <f ca="1">IF(AND(ISNUMBER($BE$79),$B$53=1),$BE$79,HLOOKUP(INDIRECT(ADDRESS(2,COLUMN())),OFFSET($BM$2,0,0,ROW()-1,59),ROW()-1,FALSE))</f>
        <v>7070.9628149999999</v>
      </c>
      <c r="BF28">
        <f ca="1">IF(AND(ISNUMBER($BF$79),$B$53=1),$BF$79,HLOOKUP(INDIRECT(ADDRESS(2,COLUMN())),OFFSET($BM$2,0,0,ROW()-1,59),ROW()-1,FALSE))</f>
        <v>6324.3149590000003</v>
      </c>
      <c r="BG28">
        <f ca="1">IF(AND(ISNUMBER($BG$79),$B$53=1),$BG$79,HLOOKUP(INDIRECT(ADDRESS(2,COLUMN())),OFFSET($BM$2,0,0,ROW()-1,59),ROW()-1,FALSE))</f>
        <v>6124.3664689999996</v>
      </c>
      <c r="BH28">
        <f ca="1">IF(AND(ISNUMBER($BH$79),$B$53=1),$BH$79,HLOOKUP(INDIRECT(ADDRESS(2,COLUMN())),OFFSET($BM$2,0,0,ROW()-1,59),ROW()-1,FALSE))</f>
        <v>6237.8434219999999</v>
      </c>
      <c r="BI28">
        <f ca="1">IF(AND(ISNUMBER($BI$79),$B$53=1),$BI$79,HLOOKUP(INDIRECT(ADDRESS(2,COLUMN())),OFFSET($BM$2,0,0,ROW()-1,59),ROW()-1,FALSE))</f>
        <v>6596.4724809999998</v>
      </c>
      <c r="BJ28">
        <f ca="1">IF(AND(ISNUMBER($BJ$79),$B$53=1),$BJ$79,HLOOKUP(INDIRECT(ADDRESS(2,COLUMN())),OFFSET($BM$2,0,0,ROW()-1,59),ROW()-1,FALSE))</f>
        <v>6489.9835489999996</v>
      </c>
      <c r="BK28">
        <f ca="1">IF(AND(ISNUMBER($BK$79),$B$53=1),$BK$79,HLOOKUP(INDIRECT(ADDRESS(2,COLUMN())),OFFSET($BM$2,0,0,ROW()-1,59),ROW()-1,FALSE))</f>
        <v>6171.0681459999996</v>
      </c>
      <c r="BL28">
        <f ca="1">IF(AND(ISNUMBER($BL$79),$B$53=1),$BL$79,HLOOKUP(INDIRECT(ADDRESS(2,COLUMN())),OFFSET($BM$2,0,0,ROW()-1,59),ROW()-1,FALSE))</f>
        <v>5857.7084100000002</v>
      </c>
      <c r="BM28">
        <f>7925.806754</f>
        <v>7925.8067540000002</v>
      </c>
      <c r="BN28">
        <f>7677.815883</f>
        <v>7677.8158830000002</v>
      </c>
      <c r="BO28">
        <f>8002.530918</f>
        <v>8002.5309180000004</v>
      </c>
      <c r="BP28">
        <f>8549.756293</f>
        <v>8549.7562930000004</v>
      </c>
      <c r="BQ28">
        <f>7896.043703</f>
        <v>7896.0437030000003</v>
      </c>
      <c r="BR28">
        <f>7701.934401</f>
        <v>7701.9344010000004</v>
      </c>
      <c r="BS28">
        <f>7218.216751</f>
        <v>7218.2167509999999</v>
      </c>
      <c r="BT28">
        <f>7622.784736</f>
        <v>7622.7847359999996</v>
      </c>
      <c r="BU28">
        <f>7339.724808</f>
        <v>7339.7248079999999</v>
      </c>
      <c r="BV28">
        <f>7525.504222</f>
        <v>7525.5042219999996</v>
      </c>
      <c r="BW28">
        <f>7194.358117</f>
        <v>7194.3581169999998</v>
      </c>
      <c r="BX28">
        <f>7457.004614</f>
        <v>7457.0046140000004</v>
      </c>
      <c r="BY28">
        <f>6979.099981</f>
        <v>6979.0999810000003</v>
      </c>
      <c r="BZ28">
        <f>7324.479208</f>
        <v>7324.4792079999997</v>
      </c>
      <c r="CA28">
        <f>6643.073155</f>
        <v>6643.073155</v>
      </c>
      <c r="CB28">
        <f>7052.094946</f>
        <v>7052.0949460000002</v>
      </c>
      <c r="CC28">
        <f>6471.35086</f>
        <v>6471.3508599999996</v>
      </c>
      <c r="CD28">
        <f>7199.375696</f>
        <v>7199.3756960000001</v>
      </c>
      <c r="CE28">
        <f>6910.602035</f>
        <v>6910.6020349999999</v>
      </c>
      <c r="CF28">
        <f>7315.598957</f>
        <v>7315.5989570000002</v>
      </c>
      <c r="CG28">
        <f>6833.143874</f>
        <v>6833.1438740000003</v>
      </c>
      <c r="CH28">
        <f>6454.323377</f>
        <v>6454.3233769999997</v>
      </c>
      <c r="CI28">
        <f>6242.578489</f>
        <v>6242.5784890000004</v>
      </c>
      <c r="CJ28">
        <f>7274.636991</f>
        <v>7274.6369910000003</v>
      </c>
      <c r="CK28">
        <f>6305.323761</f>
        <v>6305.3237609999996</v>
      </c>
      <c r="CL28">
        <f>6573.627268</f>
        <v>6573.6272680000002</v>
      </c>
      <c r="CM28">
        <f>6327.599368</f>
        <v>6327.5993680000001</v>
      </c>
      <c r="CN28">
        <f>7757.132078</f>
        <v>7757.1320779999996</v>
      </c>
      <c r="CO28">
        <f>5936.506328</f>
        <v>5936.5063280000004</v>
      </c>
      <c r="CP28">
        <f>7096.123227</f>
        <v>7096.123227</v>
      </c>
      <c r="CQ28">
        <f>5006.274944</f>
        <v>5006.2749439999998</v>
      </c>
      <c r="CR28">
        <f>7391.113942</f>
        <v>7391.113942</v>
      </c>
      <c r="CS28">
        <f>6787.993895</f>
        <v>6787.9938949999996</v>
      </c>
      <c r="CT28">
        <f>6761.354011</f>
        <v>6761.3540110000004</v>
      </c>
      <c r="CU28">
        <f>6279.975953</f>
        <v>6279.9759530000001</v>
      </c>
      <c r="CV28">
        <f>6794.778826</f>
        <v>6794.7788259999998</v>
      </c>
      <c r="CW28">
        <f>6207.189858</f>
        <v>6207.1898579999997</v>
      </c>
      <c r="CX28">
        <f>6011.196696</f>
        <v>6011.196696</v>
      </c>
      <c r="CY28">
        <f>4400.452912</f>
        <v>4400.4529119999997</v>
      </c>
      <c r="CZ28">
        <f>4789.618194</f>
        <v>4789.6181939999997</v>
      </c>
      <c r="DA28">
        <f>5345.415798</f>
        <v>5345.415798</v>
      </c>
      <c r="DB28">
        <f>7471.544265</f>
        <v>7471.5442650000005</v>
      </c>
      <c r="DC28">
        <f>7379.953863</f>
        <v>7379.9538629999997</v>
      </c>
      <c r="DD28">
        <f>9215.621438</f>
        <v>9215.6214380000001</v>
      </c>
      <c r="DE28">
        <f>7514.627475</f>
        <v>7514.6274750000002</v>
      </c>
      <c r="DF28">
        <f>7152.01926</f>
        <v>7152.01926</v>
      </c>
      <c r="DG28">
        <f>6741.572683</f>
        <v>6741.5726830000003</v>
      </c>
      <c r="DH28">
        <f>8026.065791</f>
        <v>8026.065791</v>
      </c>
      <c r="DI28">
        <f>6522.865258</f>
        <v>6522.8652579999998</v>
      </c>
      <c r="DJ28">
        <f>6770.308359</f>
        <v>6770.3083589999997</v>
      </c>
      <c r="DK28">
        <f>6423.752233</f>
        <v>6423.7522330000002</v>
      </c>
      <c r="DL28">
        <f>7070.962815</f>
        <v>7070.9628149999999</v>
      </c>
      <c r="DM28">
        <f>6324.314959</f>
        <v>6324.3149590000003</v>
      </c>
      <c r="DN28">
        <f>6124.366469</f>
        <v>6124.3664689999996</v>
      </c>
      <c r="DO28">
        <f>6237.843422</f>
        <v>6237.8434219999999</v>
      </c>
      <c r="DP28">
        <f>6596.472481</f>
        <v>6596.4724809999998</v>
      </c>
      <c r="DQ28">
        <f>6489.983549</f>
        <v>6489.9835489999996</v>
      </c>
      <c r="DR28">
        <f>6171.068146</f>
        <v>6171.0681459999996</v>
      </c>
      <c r="DS28">
        <f>5857.70841</f>
        <v>5857.7084100000002</v>
      </c>
    </row>
    <row r="29" spans="1:123" x14ac:dyDescent="0.25">
      <c r="A29" t="str">
        <f>"        North America"</f>
        <v xml:space="preserve">        North America</v>
      </c>
      <c r="B29" t="str">
        <f>"7261 JP Equity"</f>
        <v>7261 JP Equity</v>
      </c>
      <c r="C29" t="str">
        <f>"BI047"</f>
        <v>BI047</v>
      </c>
      <c r="D29" t="str">
        <f>"BICS_SEGMENT_DATA"</f>
        <v>BICS_SEGMENT_DATA</v>
      </c>
      <c r="E29" t="str">
        <f t="shared" si="1"/>
        <v>Dynamic</v>
      </c>
      <c r="F29" t="str">
        <f ca="1">IF(AND(ISNUMBER($F$80),$B$53=1),$F$80,HLOOKUP(INDIRECT(ADDRESS(2,COLUMN())),OFFSET($BM$2,0,0,ROW()-1,59),ROW()-1,FALSE))</f>
        <v/>
      </c>
      <c r="G29" t="str">
        <f ca="1">IF(AND(ISNUMBER($G$80),$B$53=1),$G$80,HLOOKUP(INDIRECT(ADDRESS(2,COLUMN())),OFFSET($BM$2,0,0,ROW()-1,59),ROW()-1,FALSE))</f>
        <v/>
      </c>
      <c r="H29" t="str">
        <f ca="1">IF(AND(ISNUMBER($H$80),$B$53=1),$H$80,HLOOKUP(INDIRECT(ADDRESS(2,COLUMN())),OFFSET($BM$2,0,0,ROW()-1,59),ROW()-1,FALSE))</f>
        <v/>
      </c>
      <c r="I29" t="str">
        <f ca="1">IF(AND(ISNUMBER($I$80),$B$53=1),$I$80,HLOOKUP(INDIRECT(ADDRESS(2,COLUMN())),OFFSET($BM$2,0,0,ROW()-1,59),ROW()-1,FALSE))</f>
        <v/>
      </c>
      <c r="J29" t="str">
        <f ca="1">IF(AND(ISNUMBER($J$80),$B$53=1),$J$80,HLOOKUP(INDIRECT(ADDRESS(2,COLUMN())),OFFSET($BM$2,0,0,ROW()-1,59),ROW()-1,FALSE))</f>
        <v/>
      </c>
      <c r="K29" t="str">
        <f ca="1">IF(AND(ISNUMBER($K$80),$B$53=1),$K$80,HLOOKUP(INDIRECT(ADDRESS(2,COLUMN())),OFFSET($BM$2,0,0,ROW()-1,59),ROW()-1,FALSE))</f>
        <v/>
      </c>
      <c r="L29" t="str">
        <f ca="1">IF(AND(ISNUMBER($L$80),$B$53=1),$L$80,HLOOKUP(INDIRECT(ADDRESS(2,COLUMN())),OFFSET($BM$2,0,0,ROW()-1,59),ROW()-1,FALSE))</f>
        <v/>
      </c>
      <c r="M29" t="str">
        <f ca="1">IF(AND(ISNUMBER($M$80),$B$53=1),$M$80,HLOOKUP(INDIRECT(ADDRESS(2,COLUMN())),OFFSET($BM$2,0,0,ROW()-1,59),ROW()-1,FALSE))</f>
        <v/>
      </c>
      <c r="N29" t="str">
        <f ca="1">IF(AND(ISNUMBER($N$80),$B$53=1),$N$80,HLOOKUP(INDIRECT(ADDRESS(2,COLUMN())),OFFSET($BM$2,0,0,ROW()-1,59),ROW()-1,FALSE))</f>
        <v/>
      </c>
      <c r="O29" t="str">
        <f ca="1">IF(AND(ISNUMBER($O$80),$B$53=1),$O$80,HLOOKUP(INDIRECT(ADDRESS(2,COLUMN())),OFFSET($BM$2,0,0,ROW()-1,59),ROW()-1,FALSE))</f>
        <v/>
      </c>
      <c r="P29" t="str">
        <f ca="1">IF(AND(ISNUMBER($P$80),$B$53=1),$P$80,HLOOKUP(INDIRECT(ADDRESS(2,COLUMN())),OFFSET($BM$2,0,0,ROW()-1,59),ROW()-1,FALSE))</f>
        <v/>
      </c>
      <c r="Q29" t="str">
        <f ca="1">IF(AND(ISNUMBER($Q$80),$B$53=1),$Q$80,HLOOKUP(INDIRECT(ADDRESS(2,COLUMN())),OFFSET($BM$2,0,0,ROW()-1,59),ROW()-1,FALSE))</f>
        <v/>
      </c>
      <c r="R29" t="str">
        <f ca="1">IF(AND(ISNUMBER($R$80),$B$53=1),$R$80,HLOOKUP(INDIRECT(ADDRESS(2,COLUMN())),OFFSET($BM$2,0,0,ROW()-1,59),ROW()-1,FALSE))</f>
        <v/>
      </c>
      <c r="S29" t="str">
        <f ca="1">IF(AND(ISNUMBER($S$80),$B$53=1),$S$80,HLOOKUP(INDIRECT(ADDRESS(2,COLUMN())),OFFSET($BM$2,0,0,ROW()-1,59),ROW()-1,FALSE))</f>
        <v/>
      </c>
      <c r="T29" t="str">
        <f ca="1">IF(AND(ISNUMBER($T$80),$B$53=1),$T$80,HLOOKUP(INDIRECT(ADDRESS(2,COLUMN())),OFFSET($BM$2,0,0,ROW()-1,59),ROW()-1,FALSE))</f>
        <v/>
      </c>
      <c r="U29" t="str">
        <f ca="1">IF(AND(ISNUMBER($U$80),$B$53=1),$U$80,HLOOKUP(INDIRECT(ADDRESS(2,COLUMN())),OFFSET($BM$2,0,0,ROW()-1,59),ROW()-1,FALSE))</f>
        <v/>
      </c>
      <c r="V29" t="str">
        <f ca="1">IF(AND(ISNUMBER($V$80),$B$53=1),$V$80,HLOOKUP(INDIRECT(ADDRESS(2,COLUMN())),OFFSET($BM$2,0,0,ROW()-1,59),ROW()-1,FALSE))</f>
        <v/>
      </c>
      <c r="W29" t="str">
        <f ca="1">IF(AND(ISNUMBER($W$80),$B$53=1),$W$80,HLOOKUP(INDIRECT(ADDRESS(2,COLUMN())),OFFSET($BM$2,0,0,ROW()-1,59),ROW()-1,FALSE))</f>
        <v/>
      </c>
      <c r="X29" t="str">
        <f ca="1">IF(AND(ISNUMBER($X$80),$B$53=1),$X$80,HLOOKUP(INDIRECT(ADDRESS(2,COLUMN())),OFFSET($BM$2,0,0,ROW()-1,59),ROW()-1,FALSE))</f>
        <v/>
      </c>
      <c r="Y29" t="str">
        <f ca="1">IF(AND(ISNUMBER($Y$80),$B$53=1),$Y$80,HLOOKUP(INDIRECT(ADDRESS(2,COLUMN())),OFFSET($BM$2,0,0,ROW()-1,59),ROW()-1,FALSE))</f>
        <v/>
      </c>
      <c r="Z29" t="str">
        <f ca="1">IF(AND(ISNUMBER($Z$80),$B$53=1),$Z$80,HLOOKUP(INDIRECT(ADDRESS(2,COLUMN())),OFFSET($BM$2,0,0,ROW()-1,59),ROW()-1,FALSE))</f>
        <v/>
      </c>
      <c r="AA29" t="str">
        <f ca="1">IF(AND(ISNUMBER($AA$80),$B$53=1),$AA$80,HLOOKUP(INDIRECT(ADDRESS(2,COLUMN())),OFFSET($BM$2,0,0,ROW()-1,59),ROW()-1,FALSE))</f>
        <v/>
      </c>
      <c r="AB29" t="str">
        <f ca="1">IF(AND(ISNUMBER($AB$80),$B$53=1),$AB$80,HLOOKUP(INDIRECT(ADDRESS(2,COLUMN())),OFFSET($BM$2,0,0,ROW()-1,59),ROW()-1,FALSE))</f>
        <v/>
      </c>
      <c r="AC29" t="str">
        <f ca="1">IF(AND(ISNUMBER($AC$80),$B$53=1),$AC$80,HLOOKUP(INDIRECT(ADDRESS(2,COLUMN())),OFFSET($BM$2,0,0,ROW()-1,59),ROW()-1,FALSE))</f>
        <v/>
      </c>
      <c r="AD29" t="str">
        <f ca="1">IF(AND(ISNUMBER($AD$80),$B$53=1),$AD$80,HLOOKUP(INDIRECT(ADDRESS(2,COLUMN())),OFFSET($BM$2,0,0,ROW()-1,59),ROW()-1,FALSE))</f>
        <v/>
      </c>
      <c r="AE29" t="str">
        <f ca="1">IF(AND(ISNUMBER($AE$80),$B$53=1),$AE$80,HLOOKUP(INDIRECT(ADDRESS(2,COLUMN())),OFFSET($BM$2,0,0,ROW()-1,59),ROW()-1,FALSE))</f>
        <v/>
      </c>
      <c r="AF29" t="str">
        <f ca="1">IF(AND(ISNUMBER($AF$80),$B$53=1),$AF$80,HLOOKUP(INDIRECT(ADDRESS(2,COLUMN())),OFFSET($BM$2,0,0,ROW()-1,59),ROW()-1,FALSE))</f>
        <v/>
      </c>
      <c r="AG29" t="str">
        <f ca="1">IF(AND(ISNUMBER($AG$80),$B$53=1),$AG$80,HLOOKUP(INDIRECT(ADDRESS(2,COLUMN())),OFFSET($BM$2,0,0,ROW()-1,59),ROW()-1,FALSE))</f>
        <v/>
      </c>
      <c r="AH29" t="str">
        <f ca="1">IF(AND(ISNUMBER($AH$80),$B$53=1),$AH$80,HLOOKUP(INDIRECT(ADDRESS(2,COLUMN())),OFFSET($BM$2,0,0,ROW()-1,59),ROW()-1,FALSE))</f>
        <v/>
      </c>
      <c r="AI29" t="str">
        <f ca="1">IF(AND(ISNUMBER($AI$80),$B$53=1),$AI$80,HLOOKUP(INDIRECT(ADDRESS(2,COLUMN())),OFFSET($BM$2,0,0,ROW()-1,59),ROW()-1,FALSE))</f>
        <v/>
      </c>
      <c r="AJ29" t="str">
        <f ca="1">IF(AND(ISNUMBER($AJ$80),$B$53=1),$AJ$80,HLOOKUP(INDIRECT(ADDRESS(2,COLUMN())),OFFSET($BM$2,0,0,ROW()-1,59),ROW()-1,FALSE))</f>
        <v/>
      </c>
      <c r="AK29" t="str">
        <f ca="1">IF(AND(ISNUMBER($AK$80),$B$53=1),$AK$80,HLOOKUP(INDIRECT(ADDRESS(2,COLUMN())),OFFSET($BM$2,0,0,ROW()-1,59),ROW()-1,FALSE))</f>
        <v/>
      </c>
      <c r="AL29" t="str">
        <f ca="1">IF(AND(ISNUMBER($AL$80),$B$53=1),$AL$80,HLOOKUP(INDIRECT(ADDRESS(2,COLUMN())),OFFSET($BM$2,0,0,ROW()-1,59),ROW()-1,FALSE))</f>
        <v/>
      </c>
      <c r="AM29" t="str">
        <f ca="1">IF(AND(ISNUMBER($AM$80),$B$53=1),$AM$80,HLOOKUP(INDIRECT(ADDRESS(2,COLUMN())),OFFSET($BM$2,0,0,ROW()-1,59),ROW()-1,FALSE))</f>
        <v/>
      </c>
      <c r="AN29" t="str">
        <f ca="1">IF(AND(ISNUMBER($AN$80),$B$53=1),$AN$80,HLOOKUP(INDIRECT(ADDRESS(2,COLUMN())),OFFSET($BM$2,0,0,ROW()-1,59),ROW()-1,FALSE))</f>
        <v/>
      </c>
      <c r="AO29">
        <f ca="1">IF(AND(ISNUMBER($AO$80),$B$53=1),$AO$80,HLOOKUP(INDIRECT(ADDRESS(2,COLUMN())),OFFSET($BM$2,0,0,ROW()-1,59),ROW()-1,FALSE))</f>
        <v>1817.0497769999999</v>
      </c>
      <c r="AP29">
        <f ca="1">IF(AND(ISNUMBER($AP$80),$B$53=1),$AP$80,HLOOKUP(INDIRECT(ADDRESS(2,COLUMN())),OFFSET($BM$2,0,0,ROW()-1,59),ROW()-1,FALSE))</f>
        <v>1862.583351</v>
      </c>
      <c r="AQ29">
        <f ca="1">IF(AND(ISNUMBER($AQ$80),$B$53=1),$AQ$80,HLOOKUP(INDIRECT(ADDRESS(2,COLUMN())),OFFSET($BM$2,0,0,ROW()-1,59),ROW()-1,FALSE))</f>
        <v>1502.1842650000001</v>
      </c>
      <c r="AR29">
        <f ca="1">IF(AND(ISNUMBER($AR$80),$B$53=1),$AR$80,HLOOKUP(INDIRECT(ADDRESS(2,COLUMN())),OFFSET($BM$2,0,0,ROW()-1,59),ROW()-1,FALSE))</f>
        <v>1049.3857250000001</v>
      </c>
      <c r="AS29">
        <f ca="1">IF(AND(ISNUMBER($AS$80),$B$53=1),$AS$80,HLOOKUP(INDIRECT(ADDRESS(2,COLUMN())),OFFSET($BM$2,0,0,ROW()-1,59),ROW()-1,FALSE))</f>
        <v>1159.1139659999999</v>
      </c>
      <c r="AT29">
        <f ca="1">IF(AND(ISNUMBER($AT$80),$B$53=1),$AT$80,HLOOKUP(INDIRECT(ADDRESS(2,COLUMN())),OFFSET($BM$2,0,0,ROW()-1,59),ROW()-1,FALSE))</f>
        <v>1314.065429</v>
      </c>
      <c r="AU29">
        <f ca="1">IF(AND(ISNUMBER($AU$80),$B$53=1),$AU$80,HLOOKUP(INDIRECT(ADDRESS(2,COLUMN())),OFFSET($BM$2,0,0,ROW()-1,59),ROW()-1,FALSE))</f>
        <v>2220.722444</v>
      </c>
      <c r="AV29">
        <f ca="1">IF(AND(ISNUMBER($AV$80),$B$53=1),$AV$80,HLOOKUP(INDIRECT(ADDRESS(2,COLUMN())),OFFSET($BM$2,0,0,ROW()-1,59),ROW()-1,FALSE))</f>
        <v>2145.108502</v>
      </c>
      <c r="AW29" t="str">
        <f ca="1">IF(AND(ISNUMBER($AW$80),$B$53=1),$AW$80,HLOOKUP(INDIRECT(ADDRESS(2,COLUMN())),OFFSET($BM$2,0,0,ROW()-1,59),ROW()-1,FALSE))</f>
        <v/>
      </c>
      <c r="AX29" t="str">
        <f ca="1">IF(AND(ISNUMBER($AX$80),$B$53=1),$AX$80,HLOOKUP(INDIRECT(ADDRESS(2,COLUMN())),OFFSET($BM$2,0,0,ROW()-1,59),ROW()-1,FALSE))</f>
        <v/>
      </c>
      <c r="AY29" t="str">
        <f ca="1">IF(AND(ISNUMBER($AY$80),$B$53=1),$AY$80,HLOOKUP(INDIRECT(ADDRESS(2,COLUMN())),OFFSET($BM$2,0,0,ROW()-1,59),ROW()-1,FALSE))</f>
        <v/>
      </c>
      <c r="AZ29" t="str">
        <f ca="1">IF(AND(ISNUMBER($AZ$80),$B$53=1),$AZ$80,HLOOKUP(INDIRECT(ADDRESS(2,COLUMN())),OFFSET($BM$2,0,0,ROW()-1,59),ROW()-1,FALSE))</f>
        <v/>
      </c>
      <c r="BA29" t="str">
        <f ca="1">IF(AND(ISNUMBER($BA$80),$B$53=1),$BA$80,HLOOKUP(INDIRECT(ADDRESS(2,COLUMN())),OFFSET($BM$2,0,0,ROW()-1,59),ROW()-1,FALSE))</f>
        <v/>
      </c>
      <c r="BB29" t="str">
        <f ca="1">IF(AND(ISNUMBER($BB$80),$B$53=1),$BB$80,HLOOKUP(INDIRECT(ADDRESS(2,COLUMN())),OFFSET($BM$2,0,0,ROW()-1,59),ROW()-1,FALSE))</f>
        <v/>
      </c>
      <c r="BC29" t="str">
        <f ca="1">IF(AND(ISNUMBER($BC$80),$B$53=1),$BC$80,HLOOKUP(INDIRECT(ADDRESS(2,COLUMN())),OFFSET($BM$2,0,0,ROW()-1,59),ROW()-1,FALSE))</f>
        <v/>
      </c>
      <c r="BD29" t="str">
        <f ca="1">IF(AND(ISNUMBER($BD$80),$B$53=1),$BD$80,HLOOKUP(INDIRECT(ADDRESS(2,COLUMN())),OFFSET($BM$2,0,0,ROW()-1,59),ROW()-1,FALSE))</f>
        <v/>
      </c>
      <c r="BE29" t="str">
        <f ca="1">IF(AND(ISNUMBER($BE$80),$B$53=1),$BE$80,HLOOKUP(INDIRECT(ADDRESS(2,COLUMN())),OFFSET($BM$2,0,0,ROW()-1,59),ROW()-1,FALSE))</f>
        <v/>
      </c>
      <c r="BF29" t="str">
        <f ca="1">IF(AND(ISNUMBER($BF$80),$B$53=1),$BF$80,HLOOKUP(INDIRECT(ADDRESS(2,COLUMN())),OFFSET($BM$2,0,0,ROW()-1,59),ROW()-1,FALSE))</f>
        <v/>
      </c>
      <c r="BG29" t="str">
        <f ca="1">IF(AND(ISNUMBER($BG$80),$B$53=1),$BG$80,HLOOKUP(INDIRECT(ADDRESS(2,COLUMN())),OFFSET($BM$2,0,0,ROW()-1,59),ROW()-1,FALSE))</f>
        <v/>
      </c>
      <c r="BH29" t="str">
        <f ca="1">IF(AND(ISNUMBER($BH$80),$B$53=1),$BH$80,HLOOKUP(INDIRECT(ADDRESS(2,COLUMN())),OFFSET($BM$2,0,0,ROW()-1,59),ROW()-1,FALSE))</f>
        <v/>
      </c>
      <c r="BI29" t="str">
        <f ca="1">IF(AND(ISNUMBER($BI$80),$B$53=1),$BI$80,HLOOKUP(INDIRECT(ADDRESS(2,COLUMN())),OFFSET($BM$2,0,0,ROW()-1,59),ROW()-1,FALSE))</f>
        <v/>
      </c>
      <c r="BJ29" t="str">
        <f ca="1">IF(AND(ISNUMBER($BJ$80),$B$53=1),$BJ$80,HLOOKUP(INDIRECT(ADDRESS(2,COLUMN())),OFFSET($BM$2,0,0,ROW()-1,59),ROW()-1,FALSE))</f>
        <v/>
      </c>
      <c r="BK29" t="str">
        <f ca="1">IF(AND(ISNUMBER($BK$80),$B$53=1),$BK$80,HLOOKUP(INDIRECT(ADDRESS(2,COLUMN())),OFFSET($BM$2,0,0,ROW()-1,59),ROW()-1,FALSE))</f>
        <v/>
      </c>
      <c r="BL29" t="str">
        <f ca="1">IF(AND(ISNUMBER($BL$80),$B$53=1),$BL$80,HLOOKUP(INDIRECT(ADDRESS(2,COLUMN())),OFFSET($BM$2,0,0,ROW()-1,59),ROW()-1,FALSE))</f>
        <v/>
      </c>
      <c r="BM29" t="str">
        <f>""</f>
        <v/>
      </c>
      <c r="BN29" t="str">
        <f>""</f>
        <v/>
      </c>
      <c r="BO29" t="str">
        <f>""</f>
        <v/>
      </c>
      <c r="BP29" t="str">
        <f>""</f>
        <v/>
      </c>
      <c r="BQ29" t="str">
        <f>""</f>
        <v/>
      </c>
      <c r="BR29" t="str">
        <f>""</f>
        <v/>
      </c>
      <c r="BS29" t="str">
        <f>""</f>
        <v/>
      </c>
      <c r="BT29" t="str">
        <f>""</f>
        <v/>
      </c>
      <c r="BU29" t="str">
        <f>""</f>
        <v/>
      </c>
      <c r="BV29" t="str">
        <f>""</f>
        <v/>
      </c>
      <c r="BW29" t="str">
        <f>""</f>
        <v/>
      </c>
      <c r="BX29" t="str">
        <f>""</f>
        <v/>
      </c>
      <c r="BY29" t="str">
        <f>""</f>
        <v/>
      </c>
      <c r="BZ29" t="str">
        <f>""</f>
        <v/>
      </c>
      <c r="CA29" t="str">
        <f>""</f>
        <v/>
      </c>
      <c r="CB29" t="str">
        <f>""</f>
        <v/>
      </c>
      <c r="CC29" t="str">
        <f>""</f>
        <v/>
      </c>
      <c r="CD29" t="str">
        <f>""</f>
        <v/>
      </c>
      <c r="CE29" t="str">
        <f>""</f>
        <v/>
      </c>
      <c r="CF29" t="str">
        <f>""</f>
        <v/>
      </c>
      <c r="CG29" t="str">
        <f>""</f>
        <v/>
      </c>
      <c r="CH29" t="str">
        <f>""</f>
        <v/>
      </c>
      <c r="CI29" t="str">
        <f>""</f>
        <v/>
      </c>
      <c r="CJ29" t="str">
        <f>""</f>
        <v/>
      </c>
      <c r="CK29" t="str">
        <f>""</f>
        <v/>
      </c>
      <c r="CL29" t="str">
        <f>""</f>
        <v/>
      </c>
      <c r="CM29" t="str">
        <f>""</f>
        <v/>
      </c>
      <c r="CN29" t="str">
        <f>""</f>
        <v/>
      </c>
      <c r="CO29" t="str">
        <f>""</f>
        <v/>
      </c>
      <c r="CP29" t="str">
        <f>""</f>
        <v/>
      </c>
      <c r="CQ29" t="str">
        <f>""</f>
        <v/>
      </c>
      <c r="CR29" t="str">
        <f>""</f>
        <v/>
      </c>
      <c r="CS29" t="str">
        <f>""</f>
        <v/>
      </c>
      <c r="CT29" t="str">
        <f>""</f>
        <v/>
      </c>
      <c r="CU29" t="str">
        <f>""</f>
        <v/>
      </c>
      <c r="CV29">
        <f>1817.049777</f>
        <v>1817.0497769999999</v>
      </c>
      <c r="CW29">
        <f>1862.583351</f>
        <v>1862.583351</v>
      </c>
      <c r="CX29">
        <f>1502.184265</f>
        <v>1502.1842650000001</v>
      </c>
      <c r="CY29">
        <f>1049.385725</f>
        <v>1049.3857250000001</v>
      </c>
      <c r="CZ29">
        <f>1159.113966</f>
        <v>1159.1139659999999</v>
      </c>
      <c r="DA29">
        <f>1314.065429</f>
        <v>1314.065429</v>
      </c>
      <c r="DB29">
        <f>2220.722444</f>
        <v>2220.722444</v>
      </c>
      <c r="DC29">
        <f>2145.108502</f>
        <v>2145.108502</v>
      </c>
      <c r="DD29" t="str">
        <f>""</f>
        <v/>
      </c>
      <c r="DE29" t="str">
        <f>""</f>
        <v/>
      </c>
      <c r="DF29" t="str">
        <f>""</f>
        <v/>
      </c>
      <c r="DG29" t="str">
        <f>""</f>
        <v/>
      </c>
      <c r="DH29" t="str">
        <f>""</f>
        <v/>
      </c>
      <c r="DI29" t="str">
        <f>""</f>
        <v/>
      </c>
      <c r="DJ29" t="str">
        <f>""</f>
        <v/>
      </c>
      <c r="DK29" t="str">
        <f>""</f>
        <v/>
      </c>
      <c r="DL29" t="str">
        <f>""</f>
        <v/>
      </c>
      <c r="DM29" t="str">
        <f>""</f>
        <v/>
      </c>
      <c r="DN29" t="str">
        <f>""</f>
        <v/>
      </c>
      <c r="DO29" t="str">
        <f>""</f>
        <v/>
      </c>
      <c r="DP29" t="str">
        <f>""</f>
        <v/>
      </c>
      <c r="DQ29" t="str">
        <f>""</f>
        <v/>
      </c>
      <c r="DR29" t="str">
        <f>""</f>
        <v/>
      </c>
      <c r="DS29" t="str">
        <f>""</f>
        <v/>
      </c>
    </row>
    <row r="30" spans="1:123" x14ac:dyDescent="0.25">
      <c r="A30" t="str">
        <f>"By Geography ($M) - Fuji Heavy Industries"</f>
        <v>By Geography ($M) - Fuji Heavy Industries</v>
      </c>
      <c r="B30" t="str">
        <f>"7270 JP Equity"</f>
        <v>7270 JP Equity</v>
      </c>
      <c r="C30" t="str">
        <f>"IS010"</f>
        <v>IS010</v>
      </c>
      <c r="D30" t="str">
        <f>"SALES_REV_TURN"</f>
        <v>SALES_REV_TURN</v>
      </c>
      <c r="E30" t="str">
        <f t="shared" si="1"/>
        <v>Dynamic</v>
      </c>
      <c r="F30">
        <f ca="1">IF(AND(ISNUMBER($F$81),$B$53=1),$F$81,HLOOKUP(INDIRECT(ADDRESS(2,COLUMN())),OFFSET($BM$2,0,0,ROW()-1,59),ROW()-1,FALSE))</f>
        <v>7900.3741280000004</v>
      </c>
      <c r="G30">
        <f ca="1">IF(AND(ISNUMBER($G$81),$B$53=1),$G$81,HLOOKUP(INDIRECT(ADDRESS(2,COLUMN())),OFFSET($BM$2,0,0,ROW()-1,59),ROW()-1,FALSE))</f>
        <v>6974.4860179999996</v>
      </c>
      <c r="H30">
        <f ca="1">IF(AND(ISNUMBER($H$81),$B$53=1),$H$81,HLOOKUP(INDIRECT(ADDRESS(2,COLUMN())),OFFSET($BM$2,0,0,ROW()-1,59),ROW()-1,FALSE))</f>
        <v>6500.5950069999999</v>
      </c>
      <c r="I30">
        <f ca="1">IF(AND(ISNUMBER($I$81),$B$53=1),$I$81,HLOOKUP(INDIRECT(ADDRESS(2,COLUMN())),OFFSET($BM$2,0,0,ROW()-1,59),ROW()-1,FALSE))</f>
        <v>7760.3152300000002</v>
      </c>
      <c r="J30">
        <f ca="1">IF(AND(ISNUMBER($J$81),$B$53=1),$J$81,HLOOKUP(INDIRECT(ADDRESS(2,COLUMN())),OFFSET($BM$2,0,0,ROW()-1,59),ROW()-1,FALSE))</f>
        <v>7781.1069189999998</v>
      </c>
      <c r="K30">
        <f ca="1">IF(AND(ISNUMBER($K$81),$B$53=1),$K$81,HLOOKUP(INDIRECT(ADDRESS(2,COLUMN())),OFFSET($BM$2,0,0,ROW()-1,59),ROW()-1,FALSE))</f>
        <v>7494.3466779999999</v>
      </c>
      <c r="L30">
        <f ca="1">IF(AND(ISNUMBER($L$81),$B$53=1),$L$81,HLOOKUP(INDIRECT(ADDRESS(2,COLUMN())),OFFSET($BM$2,0,0,ROW()-1,59),ROW()-1,FALSE))</f>
        <v>7692.6334639999995</v>
      </c>
      <c r="M30">
        <f ca="1">IF(AND(ISNUMBER($M$81),$B$53=1),$M$81,HLOOKUP(INDIRECT(ADDRESS(2,COLUMN())),OFFSET($BM$2,0,0,ROW()-1,59),ROW()-1,FALSE))</f>
        <v>7907.5294389999999</v>
      </c>
      <c r="N30">
        <f ca="1">IF(AND(ISNUMBER($N$81),$B$53=1),$N$81,HLOOKUP(INDIRECT(ADDRESS(2,COLUMN())),OFFSET($BM$2,0,0,ROW()-1,59),ROW()-1,FALSE))</f>
        <v>7778.6465040000003</v>
      </c>
      <c r="O30">
        <f ca="1">IF(AND(ISNUMBER($O$81),$B$53=1),$O$81,HLOOKUP(INDIRECT(ADDRESS(2,COLUMN())),OFFSET($BM$2,0,0,ROW()-1,59),ROW()-1,FALSE))</f>
        <v>7898.1859020000002</v>
      </c>
      <c r="P30">
        <f ca="1">IF(AND(ISNUMBER($P$81),$B$53=1),$P$81,HLOOKUP(INDIRECT(ADDRESS(2,COLUMN())),OFFSET($BM$2,0,0,ROW()-1,59),ROW()-1,FALSE))</f>
        <v>7131.0903559999997</v>
      </c>
      <c r="Q30">
        <f ca="1">IF(AND(ISNUMBER($Q$81),$B$53=1),$Q$81,HLOOKUP(INDIRECT(ADDRESS(2,COLUMN())),OFFSET($BM$2,0,0,ROW()-1,59),ROW()-1,FALSE))</f>
        <v>7064.7409070000003</v>
      </c>
      <c r="R30">
        <f ca="1">IF(AND(ISNUMBER($R$81),$B$53=1),$R$81,HLOOKUP(INDIRECT(ADDRESS(2,COLUMN())),OFFSET($BM$2,0,0,ROW()-1,59),ROW()-1,FALSE))</f>
        <v>6731.0696349999998</v>
      </c>
      <c r="S30">
        <f ca="1">IF(AND(ISNUMBER($S$81),$B$53=1),$S$81,HLOOKUP(INDIRECT(ADDRESS(2,COLUMN())),OFFSET($BM$2,0,0,ROW()-1,59),ROW()-1,FALSE))</f>
        <v>6846.9730710000003</v>
      </c>
      <c r="T30">
        <f ca="1">IF(AND(ISNUMBER($T$81),$B$53=1),$T$81,HLOOKUP(INDIRECT(ADDRESS(2,COLUMN())),OFFSET($BM$2,0,0,ROW()-1,59),ROW()-1,FALSE))</f>
        <v>6307.2876800000004</v>
      </c>
      <c r="U30">
        <f ca="1">IF(AND(ISNUMBER($U$81),$B$53=1),$U$81,HLOOKUP(INDIRECT(ADDRESS(2,COLUMN())),OFFSET($BM$2,0,0,ROW()-1,59),ROW()-1,FALSE))</f>
        <v>6857.7638459999998</v>
      </c>
      <c r="V30">
        <f ca="1">IF(AND(ISNUMBER($V$81),$B$53=1),$V$81,HLOOKUP(INDIRECT(ADDRESS(2,COLUMN())),OFFSET($BM$2,0,0,ROW()-1,59),ROW()-1,FALSE))</f>
        <v>6565.8374389999999</v>
      </c>
      <c r="W30">
        <f ca="1">IF(AND(ISNUMBER($W$81),$B$53=1),$W$81,HLOOKUP(INDIRECT(ADDRESS(2,COLUMN())),OFFSET($BM$2,0,0,ROW()-1,59),ROW()-1,FALSE))</f>
        <v>6897.4588809999996</v>
      </c>
      <c r="X30">
        <f ca="1">IF(AND(ISNUMBER($X$81),$B$53=1),$X$81,HLOOKUP(INDIRECT(ADDRESS(2,COLUMN())),OFFSET($BM$2,0,0,ROW()-1,59),ROW()-1,FALSE))</f>
        <v>5811.2835610000002</v>
      </c>
      <c r="Y30">
        <f ca="1">IF(AND(ISNUMBER($Y$81),$B$53=1),$Y$81,HLOOKUP(INDIRECT(ADDRESS(2,COLUMN())),OFFSET($BM$2,0,0,ROW()-1,59),ROW()-1,FALSE))</f>
        <v>6806.0094490000001</v>
      </c>
      <c r="Z30">
        <f ca="1">IF(AND(ISNUMBER($Z$81),$B$53=1),$Z$81,HLOOKUP(INDIRECT(ADDRESS(2,COLUMN())),OFFSET($BM$2,0,0,ROW()-1,59),ROW()-1,FALSE))</f>
        <v>5806.5963300000003</v>
      </c>
      <c r="AA30">
        <f ca="1">IF(AND(ISNUMBER($AA$81),$B$53=1),$AA$81,HLOOKUP(INDIRECT(ADDRESS(2,COLUMN())),OFFSET($BM$2,0,0,ROW()-1,59),ROW()-1,FALSE))</f>
        <v>5850.2029309999998</v>
      </c>
      <c r="AB30">
        <f ca="1">IF(AND(ISNUMBER($AB$81),$B$53=1),$AB$81,HLOOKUP(INDIRECT(ADDRESS(2,COLUMN())),OFFSET($BM$2,0,0,ROW()-1,59),ROW()-1,FALSE))</f>
        <v>5543.9805050000004</v>
      </c>
      <c r="AC30">
        <f ca="1">IF(AND(ISNUMBER($AC$81),$B$53=1),$AC$81,HLOOKUP(INDIRECT(ADDRESS(2,COLUMN())),OFFSET($BM$2,0,0,ROW()-1,59),ROW()-1,FALSE))</f>
        <v>5886.7911080000003</v>
      </c>
      <c r="AD30">
        <f ca="1">IF(AND(ISNUMBER($AD$81),$B$53=1),$AD$81,HLOOKUP(INDIRECT(ADDRESS(2,COLUMN())),OFFSET($BM$2,0,0,ROW()-1,59),ROW()-1,FALSE))</f>
        <v>5824.9634420000002</v>
      </c>
      <c r="AE30">
        <f ca="1">IF(AND(ISNUMBER($AE$81),$B$53=1),$AE$81,HLOOKUP(INDIRECT(ADDRESS(2,COLUMN())),OFFSET($BM$2,0,0,ROW()-1,59),ROW()-1,FALSE))</f>
        <v>5966.1916940000001</v>
      </c>
      <c r="AF30">
        <f ca="1">IF(AND(ISNUMBER($AF$81),$B$53=1),$AF$81,HLOOKUP(INDIRECT(ADDRESS(2,COLUMN())),OFFSET($BM$2,0,0,ROW()-1,59),ROW()-1,FALSE))</f>
        <v>5356.8799410000001</v>
      </c>
      <c r="AG30">
        <f ca="1">IF(AND(ISNUMBER($AG$81),$B$53=1),$AG$81,HLOOKUP(INDIRECT(ADDRESS(2,COLUMN())),OFFSET($BM$2,0,0,ROW()-1,59),ROW()-1,FALSE))</f>
        <v>6153.8851189999996</v>
      </c>
      <c r="AH30">
        <f ca="1">IF(AND(ISNUMBER($AH$81),$B$53=1),$AH$81,HLOOKUP(INDIRECT(ADDRESS(2,COLUMN())),OFFSET($BM$2,0,0,ROW()-1,59),ROW()-1,FALSE))</f>
        <v>4840.6433440000001</v>
      </c>
      <c r="AI30">
        <f ca="1">IF(AND(ISNUMBER($AI$81),$B$53=1),$AI$81,HLOOKUP(INDIRECT(ADDRESS(2,COLUMN())),OFFSET($BM$2,0,0,ROW()-1,59),ROW()-1,FALSE))</f>
        <v>4566.8986800000002</v>
      </c>
      <c r="AJ30">
        <f ca="1">IF(AND(ISNUMBER($AJ$81),$B$53=1),$AJ$81,HLOOKUP(INDIRECT(ADDRESS(2,COLUMN())),OFFSET($BM$2,0,0,ROW()-1,59),ROW()-1,FALSE))</f>
        <v>3684.7146250000001</v>
      </c>
      <c r="AK30">
        <f ca="1">IF(AND(ISNUMBER($AK$81),$B$53=1),$AK$81,HLOOKUP(INDIRECT(ADDRESS(2,COLUMN())),OFFSET($BM$2,0,0,ROW()-1,59),ROW()-1,FALSE))</f>
        <v>4936.7208410000003</v>
      </c>
      <c r="AL30">
        <f ca="1">IF(AND(ISNUMBER($AL$81),$B$53=1),$AL$81,HLOOKUP(INDIRECT(ADDRESS(2,COLUMN())),OFFSET($BM$2,0,0,ROW()-1,59),ROW()-1,FALSE))</f>
        <v>4490.7089839999999</v>
      </c>
      <c r="AM30">
        <f ca="1">IF(AND(ISNUMBER($AM$81),$B$53=1),$AM$81,HLOOKUP(INDIRECT(ADDRESS(2,COLUMN())),OFFSET($BM$2,0,0,ROW()-1,59),ROW()-1,FALSE))</f>
        <v>5058.9108560000004</v>
      </c>
      <c r="AN30">
        <f ca="1">IF(AND(ISNUMBER($AN$81),$B$53=1),$AN$81,HLOOKUP(INDIRECT(ADDRESS(2,COLUMN())),OFFSET($BM$2,0,0,ROW()-1,59),ROW()-1,FALSE))</f>
        <v>4022.9036820000001</v>
      </c>
      <c r="AO30">
        <f ca="1">IF(AND(ISNUMBER($AO$81),$B$53=1),$AO$81,HLOOKUP(INDIRECT(ADDRESS(2,COLUMN())),OFFSET($BM$2,0,0,ROW()-1,59),ROW()-1,FALSE))</f>
        <v>4594.9693459999999</v>
      </c>
      <c r="AP30">
        <f ca="1">IF(AND(ISNUMBER($AP$81),$B$53=1),$AP$81,HLOOKUP(INDIRECT(ADDRESS(2,COLUMN())),OFFSET($BM$2,0,0,ROW()-1,59),ROW()-1,FALSE))</f>
        <v>4191.8395579999997</v>
      </c>
      <c r="AQ30">
        <f ca="1">IF(AND(ISNUMBER($AQ$81),$B$53=1),$AQ$81,HLOOKUP(INDIRECT(ADDRESS(2,COLUMN())),OFFSET($BM$2,0,0,ROW()-1,59),ROW()-1,FALSE))</f>
        <v>3895.0663020000002</v>
      </c>
      <c r="AR30">
        <f ca="1">IF(AND(ISNUMBER($AR$81),$B$53=1),$AR$81,HLOOKUP(INDIRECT(ADDRESS(2,COLUMN())),OFFSET($BM$2,0,0,ROW()-1,59),ROW()-1,FALSE))</f>
        <v>2788.116755</v>
      </c>
      <c r="AS30">
        <f ca="1">IF(AND(ISNUMBER($AS$81),$B$53=1),$AS$81,HLOOKUP(INDIRECT(ADDRESS(2,COLUMN())),OFFSET($BM$2,0,0,ROW()-1,59),ROW()-1,FALSE))</f>
        <v>3624.8596619999998</v>
      </c>
      <c r="AT30">
        <f ca="1">IF(AND(ISNUMBER($AT$81),$B$53=1),$AT$81,HLOOKUP(INDIRECT(ADDRESS(2,COLUMN())),OFFSET($BM$2,0,0,ROW()-1,59),ROW()-1,FALSE))</f>
        <v>3782.292782</v>
      </c>
      <c r="AU30">
        <f ca="1">IF(AND(ISNUMBER($AU$81),$B$53=1),$AU$81,HLOOKUP(INDIRECT(ADDRESS(2,COLUMN())),OFFSET($BM$2,0,0,ROW()-1,59),ROW()-1,FALSE))</f>
        <v>3747.285523</v>
      </c>
      <c r="AV30">
        <f ca="1">IF(AND(ISNUMBER($AV$81),$B$53=1),$AV$81,HLOOKUP(INDIRECT(ADDRESS(2,COLUMN())),OFFSET($BM$2,0,0,ROW()-1,59),ROW()-1,FALSE))</f>
        <v>3261.5318010000001</v>
      </c>
      <c r="AW30">
        <f ca="1">IF(AND(ISNUMBER($AW$81),$B$53=1),$AW$81,HLOOKUP(INDIRECT(ADDRESS(2,COLUMN())),OFFSET($BM$2,0,0,ROW()-1,59),ROW()-1,FALSE))</f>
        <v>4439.2742399999997</v>
      </c>
      <c r="AX30">
        <f ca="1">IF(AND(ISNUMBER($AX$81),$B$53=1),$AX$81,HLOOKUP(INDIRECT(ADDRESS(2,COLUMN())),OFFSET($BM$2,0,0,ROW()-1,59),ROW()-1,FALSE))</f>
        <v>3505.1623850000001</v>
      </c>
      <c r="AY30">
        <f ca="1">IF(AND(ISNUMBER($AY$81),$B$53=1),$AY$81,HLOOKUP(INDIRECT(ADDRESS(2,COLUMN())),OFFSET($BM$2,0,0,ROW()-1,59),ROW()-1,FALSE))</f>
        <v>3317.933943</v>
      </c>
      <c r="AZ30">
        <f ca="1">IF(AND(ISNUMBER($AZ$81),$B$53=1),$AZ$81,HLOOKUP(INDIRECT(ADDRESS(2,COLUMN())),OFFSET($BM$2,0,0,ROW()-1,59),ROW()-1,FALSE))</f>
        <v>2634.6587260000001</v>
      </c>
      <c r="BA30">
        <f ca="1">IF(AND(ISNUMBER($BA$81),$B$53=1),$BA$81,HLOOKUP(INDIRECT(ADDRESS(2,COLUMN())),OFFSET($BM$2,0,0,ROW()-1,59),ROW()-1,FALSE))</f>
        <v>3653.8819189999999</v>
      </c>
      <c r="BB30">
        <f ca="1">IF(AND(ISNUMBER($BB$81),$B$53=1),$BB$81,HLOOKUP(INDIRECT(ADDRESS(2,COLUMN())),OFFSET($BM$2,0,0,ROW()-1,59),ROW()-1,FALSE))</f>
        <v>3057.515868</v>
      </c>
      <c r="BC30">
        <f ca="1">IF(AND(ISNUMBER($BC$81),$B$53=1),$BC$81,HLOOKUP(INDIRECT(ADDRESS(2,COLUMN())),OFFSET($BM$2,0,0,ROW()-1,59),ROW()-1,FALSE))</f>
        <v>3175.0251459999999</v>
      </c>
      <c r="BD30">
        <f ca="1">IF(AND(ISNUMBER($BD$81),$B$53=1),$BD$81,HLOOKUP(INDIRECT(ADDRESS(2,COLUMN())),OFFSET($BM$2,0,0,ROW()-1,59),ROW()-1,FALSE))</f>
        <v>2882.7946619999998</v>
      </c>
      <c r="BE30">
        <f ca="1">IF(AND(ISNUMBER($BE$81),$B$53=1),$BE$81,HLOOKUP(INDIRECT(ADDRESS(2,COLUMN())),OFFSET($BM$2,0,0,ROW()-1,59),ROW()-1,FALSE))</f>
        <v>3737.8659400000001</v>
      </c>
      <c r="BF30">
        <f ca="1">IF(AND(ISNUMBER($BF$81),$B$53=1),$BF$81,HLOOKUP(INDIRECT(ADDRESS(2,COLUMN())),OFFSET($BM$2,0,0,ROW()-1,59),ROW()-1,FALSE))</f>
        <v>3176.2908940000002</v>
      </c>
      <c r="BG30">
        <f ca="1">IF(AND(ISNUMBER($BG$81),$B$53=1),$BG$81,HLOOKUP(INDIRECT(ADDRESS(2,COLUMN())),OFFSET($BM$2,0,0,ROW()-1,59),ROW()-1,FALSE))</f>
        <v>3301.2140639999998</v>
      </c>
      <c r="BH30">
        <f ca="1">IF(AND(ISNUMBER($BH$81),$B$53=1),$BH$81,HLOOKUP(INDIRECT(ADDRESS(2,COLUMN())),OFFSET($BM$2,0,0,ROW()-1,59),ROW()-1,FALSE))</f>
        <v>2789.3535969999998</v>
      </c>
      <c r="BI30">
        <f ca="1">IF(AND(ISNUMBER($BI$81),$B$53=1),$BI$81,HLOOKUP(INDIRECT(ADDRESS(2,COLUMN())),OFFSET($BM$2,0,0,ROW()-1,59),ROW()-1,FALSE))</f>
        <v>3789.8000430000002</v>
      </c>
      <c r="BJ30">
        <f ca="1">IF(AND(ISNUMBER($BJ$81),$B$53=1),$BJ$81,HLOOKUP(INDIRECT(ADDRESS(2,COLUMN())),OFFSET($BM$2,0,0,ROW()-1,59),ROW()-1,FALSE))</f>
        <v>3404.2424559999999</v>
      </c>
      <c r="BK30">
        <f ca="1">IF(AND(ISNUMBER($BK$81),$B$53=1),$BK$81,HLOOKUP(INDIRECT(ADDRESS(2,COLUMN())),OFFSET($BM$2,0,0,ROW()-1,59),ROW()-1,FALSE))</f>
        <v>3486.7822390000001</v>
      </c>
      <c r="BL30">
        <f ca="1">IF(AND(ISNUMBER($BL$81),$B$53=1),$BL$81,HLOOKUP(INDIRECT(ADDRESS(2,COLUMN())),OFFSET($BM$2,0,0,ROW()-1,59),ROW()-1,FALSE))</f>
        <v>2804.895172</v>
      </c>
      <c r="BM30">
        <f>7900.374128</f>
        <v>7900.3741280000004</v>
      </c>
      <c r="BN30">
        <f>6974.486018</f>
        <v>6974.4860179999996</v>
      </c>
      <c r="BO30">
        <f>6500.595007</f>
        <v>6500.5950069999999</v>
      </c>
      <c r="BP30">
        <f>7760.31523</f>
        <v>7760.3152300000002</v>
      </c>
      <c r="BQ30">
        <f>7781.106919</f>
        <v>7781.1069189999998</v>
      </c>
      <c r="BR30">
        <f>7494.346678</f>
        <v>7494.3466779999999</v>
      </c>
      <c r="BS30">
        <f>7692.633464</f>
        <v>7692.6334639999995</v>
      </c>
      <c r="BT30">
        <f>7907.529439</f>
        <v>7907.5294389999999</v>
      </c>
      <c r="BU30">
        <f>7778.646504</f>
        <v>7778.6465040000003</v>
      </c>
      <c r="BV30">
        <f>7898.185902</f>
        <v>7898.1859020000002</v>
      </c>
      <c r="BW30">
        <f>7131.090356</f>
        <v>7131.0903559999997</v>
      </c>
      <c r="BX30">
        <f>7064.740907</f>
        <v>7064.7409070000003</v>
      </c>
      <c r="BY30">
        <f>6731.069635</f>
        <v>6731.0696349999998</v>
      </c>
      <c r="BZ30">
        <f>6846.973071</f>
        <v>6846.9730710000003</v>
      </c>
      <c r="CA30">
        <f>6307.28768</f>
        <v>6307.2876800000004</v>
      </c>
      <c r="CB30">
        <f>6857.763846</f>
        <v>6857.7638459999998</v>
      </c>
      <c r="CC30">
        <f>6565.837439</f>
        <v>6565.8374389999999</v>
      </c>
      <c r="CD30">
        <f>6897.458881</f>
        <v>6897.4588809999996</v>
      </c>
      <c r="CE30">
        <f>5811.283561</f>
        <v>5811.2835610000002</v>
      </c>
      <c r="CF30">
        <f>6806.009449</f>
        <v>6806.0094490000001</v>
      </c>
      <c r="CG30">
        <f>5806.59633</f>
        <v>5806.5963300000003</v>
      </c>
      <c r="CH30">
        <f>5850.202931</f>
        <v>5850.2029309999998</v>
      </c>
      <c r="CI30">
        <f>5543.980505</f>
        <v>5543.9805050000004</v>
      </c>
      <c r="CJ30">
        <f>5886.791108</f>
        <v>5886.7911080000003</v>
      </c>
      <c r="CK30">
        <f>5824.963442</f>
        <v>5824.9634420000002</v>
      </c>
      <c r="CL30">
        <f>5966.191694</f>
        <v>5966.1916940000001</v>
      </c>
      <c r="CM30">
        <f>5356.879941</f>
        <v>5356.8799410000001</v>
      </c>
      <c r="CN30">
        <f>6153.885119</f>
        <v>6153.8851189999996</v>
      </c>
      <c r="CO30">
        <f>4840.643344</f>
        <v>4840.6433440000001</v>
      </c>
      <c r="CP30">
        <f>4566.89868</f>
        <v>4566.8986800000002</v>
      </c>
      <c r="CQ30">
        <f>3684.714625</f>
        <v>3684.7146250000001</v>
      </c>
      <c r="CR30">
        <f>4936.720841</f>
        <v>4936.7208410000003</v>
      </c>
      <c r="CS30">
        <f>4490.708984</f>
        <v>4490.7089839999999</v>
      </c>
      <c r="CT30">
        <f>5058.910856</f>
        <v>5058.9108560000004</v>
      </c>
      <c r="CU30">
        <f>4022.903682</f>
        <v>4022.9036820000001</v>
      </c>
      <c r="CV30">
        <f>4594.969346</f>
        <v>4594.9693459999999</v>
      </c>
      <c r="CW30">
        <f>4191.839558</f>
        <v>4191.8395579999997</v>
      </c>
      <c r="CX30">
        <f>3895.066302</f>
        <v>3895.0663020000002</v>
      </c>
      <c r="CY30">
        <f>2788.116755</f>
        <v>2788.116755</v>
      </c>
      <c r="CZ30">
        <f>3624.859662</f>
        <v>3624.8596619999998</v>
      </c>
      <c r="DA30">
        <f>3782.292782</f>
        <v>3782.292782</v>
      </c>
      <c r="DB30">
        <f>3747.285523</f>
        <v>3747.285523</v>
      </c>
      <c r="DC30">
        <f>3261.531801</f>
        <v>3261.5318010000001</v>
      </c>
      <c r="DD30">
        <f>4439.27424</f>
        <v>4439.2742399999997</v>
      </c>
      <c r="DE30">
        <f>3505.162385</f>
        <v>3505.1623850000001</v>
      </c>
      <c r="DF30">
        <f>3317.933943</f>
        <v>3317.933943</v>
      </c>
      <c r="DG30">
        <f>2634.658726</f>
        <v>2634.6587260000001</v>
      </c>
      <c r="DH30">
        <f>3653.881919</f>
        <v>3653.8819189999999</v>
      </c>
      <c r="DI30">
        <f>3057.515868</f>
        <v>3057.515868</v>
      </c>
      <c r="DJ30">
        <f>3175.025146</f>
        <v>3175.0251459999999</v>
      </c>
      <c r="DK30">
        <f>2882.794662</f>
        <v>2882.7946619999998</v>
      </c>
      <c r="DL30">
        <f>3737.86594</f>
        <v>3737.8659400000001</v>
      </c>
      <c r="DM30">
        <f>3176.290894</f>
        <v>3176.2908940000002</v>
      </c>
      <c r="DN30">
        <f>3301.214064</f>
        <v>3301.2140639999998</v>
      </c>
      <c r="DO30">
        <f>2789.353597</f>
        <v>2789.3535969999998</v>
      </c>
      <c r="DP30">
        <f>3789.800043</f>
        <v>3789.8000430000002</v>
      </c>
      <c r="DQ30">
        <f>3404.242456</f>
        <v>3404.2424559999999</v>
      </c>
      <c r="DR30">
        <f>3486.782239</f>
        <v>3486.7822390000001</v>
      </c>
      <c r="DS30">
        <f>2804.895172</f>
        <v>2804.895172</v>
      </c>
    </row>
    <row r="31" spans="1:123" x14ac:dyDescent="0.25">
      <c r="A31" t="str">
        <f>"        North America"</f>
        <v xml:space="preserve">        North America</v>
      </c>
      <c r="B31" t="str">
        <f>"7270 JP Equity"</f>
        <v>7270 JP Equity</v>
      </c>
      <c r="C31" t="str">
        <f>"BI047"</f>
        <v>BI047</v>
      </c>
      <c r="D31" t="str">
        <f>"BICS_SEGMENT_DATA"</f>
        <v>BICS_SEGMENT_DATA</v>
      </c>
      <c r="E31" t="str">
        <f t="shared" si="1"/>
        <v>Dynamic</v>
      </c>
      <c r="F31">
        <f ca="1">IF(AND(ISNUMBER($F$82),$B$53=1),$F$82,HLOOKUP(INDIRECT(ADDRESS(2,COLUMN())),OFFSET($BM$2,0,0,ROW()-1,59),ROW()-1,FALSE))</f>
        <v>5762.4811879999997</v>
      </c>
      <c r="G31">
        <f ca="1">IF(AND(ISNUMBER($G$82),$B$53=1),$G$82,HLOOKUP(INDIRECT(ADDRESS(2,COLUMN())),OFFSET($BM$2,0,0,ROW()-1,59),ROW()-1,FALSE))</f>
        <v>4699.9878769999996</v>
      </c>
      <c r="H31">
        <f ca="1">IF(AND(ISNUMBER($H$82),$B$53=1),$H$82,HLOOKUP(INDIRECT(ADDRESS(2,COLUMN())),OFFSET($BM$2,0,0,ROW()-1,59),ROW()-1,FALSE))</f>
        <v>4377.5606049999997</v>
      </c>
      <c r="I31">
        <f ca="1">IF(AND(ISNUMBER($I$82),$B$53=1),$I$82,HLOOKUP(INDIRECT(ADDRESS(2,COLUMN())),OFFSET($BM$2,0,0,ROW()-1,59),ROW()-1,FALSE))</f>
        <v>5029.5882709999996</v>
      </c>
      <c r="J31">
        <f ca="1">IF(AND(ISNUMBER($J$82),$B$53=1),$J$82,HLOOKUP(INDIRECT(ADDRESS(2,COLUMN())),OFFSET($BM$2,0,0,ROW()-1,59),ROW()-1,FALSE))</f>
        <v>5419.9417899999999</v>
      </c>
      <c r="K31">
        <f ca="1">IF(AND(ISNUMBER($K$82),$B$53=1),$K$82,HLOOKUP(INDIRECT(ADDRESS(2,COLUMN())),OFFSET($BM$2,0,0,ROW()-1,59),ROW()-1,FALSE))</f>
        <v>5024.53676</v>
      </c>
      <c r="L31">
        <f ca="1">IF(AND(ISNUMBER($L$82),$B$53=1),$L$82,HLOOKUP(INDIRECT(ADDRESS(2,COLUMN())),OFFSET($BM$2,0,0,ROW()-1,59),ROW()-1,FALSE))</f>
        <v>5325.094728</v>
      </c>
      <c r="M31">
        <f ca="1">IF(AND(ISNUMBER($M$82),$B$53=1),$M$82,HLOOKUP(INDIRECT(ADDRESS(2,COLUMN())),OFFSET($BM$2,0,0,ROW()-1,59),ROW()-1,FALSE))</f>
        <v>5056.1995319999996</v>
      </c>
      <c r="N31">
        <f ca="1">IF(AND(ISNUMBER($N$82),$B$53=1),$N$82,HLOOKUP(INDIRECT(ADDRESS(2,COLUMN())),OFFSET($BM$2,0,0,ROW()-1,59),ROW()-1,FALSE))</f>
        <v>5206.5686539999997</v>
      </c>
      <c r="O31">
        <f ca="1">IF(AND(ISNUMBER($O$82),$B$53=1),$O$82,HLOOKUP(INDIRECT(ADDRESS(2,COLUMN())),OFFSET($BM$2,0,0,ROW()-1,59),ROW()-1,FALSE))</f>
        <v>5190.7105149999998</v>
      </c>
      <c r="P31">
        <f ca="1">IF(AND(ISNUMBER($P$82),$B$53=1),$P$82,HLOOKUP(INDIRECT(ADDRESS(2,COLUMN())),OFFSET($BM$2,0,0,ROW()-1,59),ROW()-1,FALSE))</f>
        <v>4798.3767120000002</v>
      </c>
      <c r="Q31">
        <f ca="1">IF(AND(ISNUMBER($Q$82),$B$53=1),$Q$82,HLOOKUP(INDIRECT(ADDRESS(2,COLUMN())),OFFSET($BM$2,0,0,ROW()-1,59),ROW()-1,FALSE))</f>
        <v>4188.684526</v>
      </c>
      <c r="R31">
        <f ca="1">IF(AND(ISNUMBER($R$82),$B$53=1),$R$82,HLOOKUP(INDIRECT(ADDRESS(2,COLUMN())),OFFSET($BM$2,0,0,ROW()-1,59),ROW()-1,FALSE))</f>
        <v>4605.4188409999997</v>
      </c>
      <c r="S31">
        <f ca="1">IF(AND(ISNUMBER($S$82),$B$53=1),$S$82,HLOOKUP(INDIRECT(ADDRESS(2,COLUMN())),OFFSET($BM$2,0,0,ROW()-1,59),ROW()-1,FALSE))</f>
        <v>4460.064687</v>
      </c>
      <c r="T31">
        <f ca="1">IF(AND(ISNUMBER($T$82),$B$53=1),$T$82,HLOOKUP(INDIRECT(ADDRESS(2,COLUMN())),OFFSET($BM$2,0,0,ROW()-1,59),ROW()-1,FALSE))</f>
        <v>4271.8051029999997</v>
      </c>
      <c r="U31">
        <f ca="1">IF(AND(ISNUMBER($U$82),$B$53=1),$U$82,HLOOKUP(INDIRECT(ADDRESS(2,COLUMN())),OFFSET($BM$2,0,0,ROW()-1,59),ROW()-1,FALSE))</f>
        <v>3878.2888509999998</v>
      </c>
      <c r="V31">
        <f ca="1">IF(AND(ISNUMBER($V$82),$B$53=1),$V$82,HLOOKUP(INDIRECT(ADDRESS(2,COLUMN())),OFFSET($BM$2,0,0,ROW()-1,59),ROW()-1,FALSE))</f>
        <v>4319.2615260000002</v>
      </c>
      <c r="W31">
        <f ca="1">IF(AND(ISNUMBER($W$82),$B$53=1),$W$82,HLOOKUP(INDIRECT(ADDRESS(2,COLUMN())),OFFSET($BM$2,0,0,ROW()-1,59),ROW()-1,FALSE))</f>
        <v>4043.1335819999999</v>
      </c>
      <c r="X31">
        <f ca="1">IF(AND(ISNUMBER($X$82),$B$53=1),$X$82,HLOOKUP(INDIRECT(ADDRESS(2,COLUMN())),OFFSET($BM$2,0,0,ROW()-1,59),ROW()-1,FALSE))</f>
        <v>3475.6761780000002</v>
      </c>
      <c r="Y31">
        <f ca="1">IF(AND(ISNUMBER($Y$82),$B$53=1),$Y$82,HLOOKUP(INDIRECT(ADDRESS(2,COLUMN())),OFFSET($BM$2,0,0,ROW()-1,59),ROW()-1,FALSE))</f>
        <v>3490.1365329999999</v>
      </c>
      <c r="Z31">
        <f ca="1">IF(AND(ISNUMBER($Z$82),$B$53=1),$Z$82,HLOOKUP(INDIRECT(ADDRESS(2,COLUMN())),OFFSET($BM$2,0,0,ROW()-1,59),ROW()-1,FALSE))</f>
        <v>3454.7656259999999</v>
      </c>
      <c r="AA31">
        <f ca="1">IF(AND(ISNUMBER($AA$82),$B$53=1),$AA$82,HLOOKUP(INDIRECT(ADDRESS(2,COLUMN())),OFFSET($BM$2,0,0,ROW()-1,59),ROW()-1,FALSE))</f>
        <v>3090.3550959999998</v>
      </c>
      <c r="AB31">
        <f ca="1">IF(AND(ISNUMBER($AB$82),$B$53=1),$AB$82,HLOOKUP(INDIRECT(ADDRESS(2,COLUMN())),OFFSET($BM$2,0,0,ROW()-1,59),ROW()-1,FALSE))</f>
        <v>3157.5221919999999</v>
      </c>
      <c r="AC31">
        <f ca="1">IF(AND(ISNUMBER($AC$82),$B$53=1),$AC$82,HLOOKUP(INDIRECT(ADDRESS(2,COLUMN())),OFFSET($BM$2,0,0,ROW()-1,59),ROW()-1,FALSE))</f>
        <v>2916.9548629999999</v>
      </c>
      <c r="AD31">
        <f ca="1">IF(AND(ISNUMBER($AD$82),$B$53=1),$AD$82,HLOOKUP(INDIRECT(ADDRESS(2,COLUMN())),OFFSET($BM$2,0,0,ROW()-1,59),ROW()-1,FALSE))</f>
        <v>2779.9827639999999</v>
      </c>
      <c r="AE31">
        <f ca="1">IF(AND(ISNUMBER($AE$82),$B$53=1),$AE$82,HLOOKUP(INDIRECT(ADDRESS(2,COLUMN())),OFFSET($BM$2,0,0,ROW()-1,59),ROW()-1,FALSE))</f>
        <v>2612.215878</v>
      </c>
      <c r="AF31">
        <f ca="1">IF(AND(ISNUMBER($AF$82),$B$53=1),$AF$82,HLOOKUP(INDIRECT(ADDRESS(2,COLUMN())),OFFSET($BM$2,0,0,ROW()-1,59),ROW()-1,FALSE))</f>
        <v>2451.7784830000001</v>
      </c>
      <c r="AG31">
        <f ca="1">IF(AND(ISNUMBER($AG$82),$B$53=1),$AG$82,HLOOKUP(INDIRECT(ADDRESS(2,COLUMN())),OFFSET($BM$2,0,0,ROW()-1,59),ROW()-1,FALSE))</f>
        <v>3004.8041429999998</v>
      </c>
      <c r="AH31">
        <f ca="1">IF(AND(ISNUMBER($AH$82),$B$53=1),$AH$82,HLOOKUP(INDIRECT(ADDRESS(2,COLUMN())),OFFSET($BM$2,0,0,ROW()-1,59),ROW()-1,FALSE))</f>
        <v>2239.4104109999998</v>
      </c>
      <c r="AI31">
        <f ca="1">IF(AND(ISNUMBER($AI$82),$B$53=1),$AI$82,HLOOKUP(INDIRECT(ADDRESS(2,COLUMN())),OFFSET($BM$2,0,0,ROW()-1,59),ROW()-1,FALSE))</f>
        <v>1975.473755</v>
      </c>
      <c r="AJ31">
        <f ca="1">IF(AND(ISNUMBER($AJ$82),$B$53=1),$AJ$82,HLOOKUP(INDIRECT(ADDRESS(2,COLUMN())),OFFSET($BM$2,0,0,ROW()-1,59),ROW()-1,FALSE))</f>
        <v>1787.2018350000001</v>
      </c>
      <c r="AK31">
        <f ca="1">IF(AND(ISNUMBER($AK$82),$B$53=1),$AK$82,HLOOKUP(INDIRECT(ADDRESS(2,COLUMN())),OFFSET($BM$2,0,0,ROW()-1,59),ROW()-1,FALSE))</f>
        <v>2266.573089</v>
      </c>
      <c r="AL31">
        <f ca="1">IF(AND(ISNUMBER($AL$82),$B$53=1),$AL$82,HLOOKUP(INDIRECT(ADDRESS(2,COLUMN())),OFFSET($BM$2,0,0,ROW()-1,59),ROW()-1,FALSE))</f>
        <v>2239.0903699999999</v>
      </c>
      <c r="AM31">
        <f ca="1">IF(AND(ISNUMBER($AM$82),$B$53=1),$AM$82,HLOOKUP(INDIRECT(ADDRESS(2,COLUMN())),OFFSET($BM$2,0,0,ROW()-1,59),ROW()-1,FALSE))</f>
        <v>2169.564359</v>
      </c>
      <c r="AN31">
        <f ca="1">IF(AND(ISNUMBER($AN$82),$B$53=1),$AN$82,HLOOKUP(INDIRECT(ADDRESS(2,COLUMN())),OFFSET($BM$2,0,0,ROW()-1,59),ROW()-1,FALSE))</f>
        <v>1831.723481</v>
      </c>
      <c r="AO31">
        <f ca="1">IF(AND(ISNUMBER($AO$82),$B$53=1),$AO$82,HLOOKUP(INDIRECT(ADDRESS(2,COLUMN())),OFFSET($BM$2,0,0,ROW()-1,59),ROW()-1,FALSE))</f>
        <v>1915.4859899999999</v>
      </c>
      <c r="AP31">
        <f ca="1">IF(AND(ISNUMBER($AP$82),$B$53=1),$AP$82,HLOOKUP(INDIRECT(ADDRESS(2,COLUMN())),OFFSET($BM$2,0,0,ROW()-1,59),ROW()-1,FALSE))</f>
        <v>1877.2343719999999</v>
      </c>
      <c r="AQ31">
        <f ca="1">IF(AND(ISNUMBER($AQ$82),$B$53=1),$AQ$82,HLOOKUP(INDIRECT(ADDRESS(2,COLUMN())),OFFSET($BM$2,0,0,ROW()-1,59),ROW()-1,FALSE))</f>
        <v>1720.7709030000001</v>
      </c>
      <c r="AR31">
        <f ca="1">IF(AND(ISNUMBER($AR$82),$B$53=1),$AR$82,HLOOKUP(INDIRECT(ADDRESS(2,COLUMN())),OFFSET($BM$2,0,0,ROW()-1,59),ROW()-1,FALSE))</f>
        <v>1222.0740040000001</v>
      </c>
      <c r="AS31">
        <f ca="1">IF(AND(ISNUMBER($AS$82),$B$53=1),$AS$82,HLOOKUP(INDIRECT(ADDRESS(2,COLUMN())),OFFSET($BM$2,0,0,ROW()-1,59),ROW()-1,FALSE))</f>
        <v>1503.015623</v>
      </c>
      <c r="AT31">
        <f ca="1">IF(AND(ISNUMBER($AT$82),$B$53=1),$AT$82,HLOOKUP(INDIRECT(ADDRESS(2,COLUMN())),OFFSET($BM$2,0,0,ROW()-1,59),ROW()-1,FALSE))</f>
        <v>1760.8583169999999</v>
      </c>
      <c r="AU31">
        <f ca="1">IF(AND(ISNUMBER($AU$82),$B$53=1),$AU$82,HLOOKUP(INDIRECT(ADDRESS(2,COLUMN())),OFFSET($BM$2,0,0,ROW()-1,59),ROW()-1,FALSE))</f>
        <v>1393.9708410000001</v>
      </c>
      <c r="AV31">
        <f ca="1">IF(AND(ISNUMBER($AV$82),$B$53=1),$AV$82,HLOOKUP(INDIRECT(ADDRESS(2,COLUMN())),OFFSET($BM$2,0,0,ROW()-1,59),ROW()-1,FALSE))</f>
        <v>1182.4467910000001</v>
      </c>
      <c r="AW31" t="str">
        <f ca="1">IF(AND(ISNUMBER($AW$82),$B$53=1),$AW$82,HLOOKUP(INDIRECT(ADDRESS(2,COLUMN())),OFFSET($BM$2,0,0,ROW()-1,59),ROW()-1,FALSE))</f>
        <v/>
      </c>
      <c r="AX31" t="str">
        <f ca="1">IF(AND(ISNUMBER($AX$82),$B$53=1),$AX$82,HLOOKUP(INDIRECT(ADDRESS(2,COLUMN())),OFFSET($BM$2,0,0,ROW()-1,59),ROW()-1,FALSE))</f>
        <v/>
      </c>
      <c r="AY31" t="str">
        <f ca="1">IF(AND(ISNUMBER($AY$82),$B$53=1),$AY$82,HLOOKUP(INDIRECT(ADDRESS(2,COLUMN())),OFFSET($BM$2,0,0,ROW()-1,59),ROW()-1,FALSE))</f>
        <v/>
      </c>
      <c r="AZ31" t="str">
        <f ca="1">IF(AND(ISNUMBER($AZ$82),$B$53=1),$AZ$82,HLOOKUP(INDIRECT(ADDRESS(2,COLUMN())),OFFSET($BM$2,0,0,ROW()-1,59),ROW()-1,FALSE))</f>
        <v/>
      </c>
      <c r="BA31" t="str">
        <f ca="1">IF(AND(ISNUMBER($BA$82),$B$53=1),$BA$82,HLOOKUP(INDIRECT(ADDRESS(2,COLUMN())),OFFSET($BM$2,0,0,ROW()-1,59),ROW()-1,FALSE))</f>
        <v/>
      </c>
      <c r="BB31" t="str">
        <f ca="1">IF(AND(ISNUMBER($BB$82),$B$53=1),$BB$82,HLOOKUP(INDIRECT(ADDRESS(2,COLUMN())),OFFSET($BM$2,0,0,ROW()-1,59),ROW()-1,FALSE))</f>
        <v/>
      </c>
      <c r="BC31" t="str">
        <f ca="1">IF(AND(ISNUMBER($BC$82),$B$53=1),$BC$82,HLOOKUP(INDIRECT(ADDRESS(2,COLUMN())),OFFSET($BM$2,0,0,ROW()-1,59),ROW()-1,FALSE))</f>
        <v/>
      </c>
      <c r="BD31" t="str">
        <f ca="1">IF(AND(ISNUMBER($BD$82),$B$53=1),$BD$82,HLOOKUP(INDIRECT(ADDRESS(2,COLUMN())),OFFSET($BM$2,0,0,ROW()-1,59),ROW()-1,FALSE))</f>
        <v/>
      </c>
      <c r="BE31" t="str">
        <f ca="1">IF(AND(ISNUMBER($BE$82),$B$53=1),$BE$82,HLOOKUP(INDIRECT(ADDRESS(2,COLUMN())),OFFSET($BM$2,0,0,ROW()-1,59),ROW()-1,FALSE))</f>
        <v/>
      </c>
      <c r="BF31" t="str">
        <f ca="1">IF(AND(ISNUMBER($BF$82),$B$53=1),$BF$82,HLOOKUP(INDIRECT(ADDRESS(2,COLUMN())),OFFSET($BM$2,0,0,ROW()-1,59),ROW()-1,FALSE))</f>
        <v/>
      </c>
      <c r="BG31" t="str">
        <f ca="1">IF(AND(ISNUMBER($BG$82),$B$53=1),$BG$82,HLOOKUP(INDIRECT(ADDRESS(2,COLUMN())),OFFSET($BM$2,0,0,ROW()-1,59),ROW()-1,FALSE))</f>
        <v/>
      </c>
      <c r="BH31" t="str">
        <f ca="1">IF(AND(ISNUMBER($BH$82),$B$53=1),$BH$82,HLOOKUP(INDIRECT(ADDRESS(2,COLUMN())),OFFSET($BM$2,0,0,ROW()-1,59),ROW()-1,FALSE))</f>
        <v/>
      </c>
      <c r="BI31" t="str">
        <f ca="1">IF(AND(ISNUMBER($BI$82),$B$53=1),$BI$82,HLOOKUP(INDIRECT(ADDRESS(2,COLUMN())),OFFSET($BM$2,0,0,ROW()-1,59),ROW()-1,FALSE))</f>
        <v/>
      </c>
      <c r="BJ31" t="str">
        <f ca="1">IF(AND(ISNUMBER($BJ$82),$B$53=1),$BJ$82,HLOOKUP(INDIRECT(ADDRESS(2,COLUMN())),OFFSET($BM$2,0,0,ROW()-1,59),ROW()-1,FALSE))</f>
        <v/>
      </c>
      <c r="BK31" t="str">
        <f ca="1">IF(AND(ISNUMBER($BK$82),$B$53=1),$BK$82,HLOOKUP(INDIRECT(ADDRESS(2,COLUMN())),OFFSET($BM$2,0,0,ROW()-1,59),ROW()-1,FALSE))</f>
        <v/>
      </c>
      <c r="BL31" t="str">
        <f ca="1">IF(AND(ISNUMBER($BL$82),$B$53=1),$BL$82,HLOOKUP(INDIRECT(ADDRESS(2,COLUMN())),OFFSET($BM$2,0,0,ROW()-1,59),ROW()-1,FALSE))</f>
        <v/>
      </c>
      <c r="BM31">
        <f>5762.481188</f>
        <v>5762.4811879999997</v>
      </c>
      <c r="BN31">
        <f>4699.987877</f>
        <v>4699.9878769999996</v>
      </c>
      <c r="BO31">
        <f>4377.560605</f>
        <v>4377.5606049999997</v>
      </c>
      <c r="BP31">
        <f>5029.588271</f>
        <v>5029.5882709999996</v>
      </c>
      <c r="BQ31">
        <f>5419.94179</f>
        <v>5419.9417899999999</v>
      </c>
      <c r="BR31">
        <f>5024.53676</f>
        <v>5024.53676</v>
      </c>
      <c r="BS31">
        <f>5325.094728</f>
        <v>5325.094728</v>
      </c>
      <c r="BT31">
        <f>5056.199532</f>
        <v>5056.1995319999996</v>
      </c>
      <c r="BU31">
        <f>5206.568654</f>
        <v>5206.5686539999997</v>
      </c>
      <c r="BV31">
        <f>5190.710515</f>
        <v>5190.7105149999998</v>
      </c>
      <c r="BW31">
        <f>4798.376712</f>
        <v>4798.3767120000002</v>
      </c>
      <c r="BX31">
        <f>4188.684526</f>
        <v>4188.684526</v>
      </c>
      <c r="BY31">
        <f>4605.418841</f>
        <v>4605.4188409999997</v>
      </c>
      <c r="BZ31">
        <f>4460.064687</f>
        <v>4460.064687</v>
      </c>
      <c r="CA31">
        <f>4271.805103</f>
        <v>4271.8051029999997</v>
      </c>
      <c r="CB31">
        <f>3878.288851</f>
        <v>3878.2888509999998</v>
      </c>
      <c r="CC31">
        <f>4319.261526</f>
        <v>4319.2615260000002</v>
      </c>
      <c r="CD31">
        <f>4043.133582</f>
        <v>4043.1335819999999</v>
      </c>
      <c r="CE31">
        <f>3475.676178</f>
        <v>3475.6761780000002</v>
      </c>
      <c r="CF31">
        <f>3490.136533</f>
        <v>3490.1365329999999</v>
      </c>
      <c r="CG31">
        <f>3454.765626</f>
        <v>3454.7656259999999</v>
      </c>
      <c r="CH31">
        <f>3090.355096</f>
        <v>3090.3550959999998</v>
      </c>
      <c r="CI31">
        <f>3157.522192</f>
        <v>3157.5221919999999</v>
      </c>
      <c r="CJ31">
        <f>2916.954863</f>
        <v>2916.9548629999999</v>
      </c>
      <c r="CK31">
        <f>2779.982764</f>
        <v>2779.9827639999999</v>
      </c>
      <c r="CL31">
        <f>2612.215878</f>
        <v>2612.215878</v>
      </c>
      <c r="CM31">
        <f>2451.778483</f>
        <v>2451.7784830000001</v>
      </c>
      <c r="CN31">
        <f>3004.804143</f>
        <v>3004.8041429999998</v>
      </c>
      <c r="CO31">
        <f>2239.410411</f>
        <v>2239.4104109999998</v>
      </c>
      <c r="CP31">
        <f>1975.473755</f>
        <v>1975.473755</v>
      </c>
      <c r="CQ31">
        <f>1787.201835</f>
        <v>1787.2018350000001</v>
      </c>
      <c r="CR31">
        <f>2266.573089</f>
        <v>2266.573089</v>
      </c>
      <c r="CS31">
        <f>2239.09037</f>
        <v>2239.0903699999999</v>
      </c>
      <c r="CT31">
        <f>2169.564359</f>
        <v>2169.564359</v>
      </c>
      <c r="CU31">
        <f>1831.723481</f>
        <v>1831.723481</v>
      </c>
      <c r="CV31">
        <f>1915.48599</f>
        <v>1915.4859899999999</v>
      </c>
      <c r="CW31">
        <f>1877.234372</f>
        <v>1877.2343719999999</v>
      </c>
      <c r="CX31">
        <f>1720.770903</f>
        <v>1720.7709030000001</v>
      </c>
      <c r="CY31">
        <f>1222.074004</f>
        <v>1222.0740040000001</v>
      </c>
      <c r="CZ31">
        <f>1503.015623</f>
        <v>1503.015623</v>
      </c>
      <c r="DA31">
        <f>1760.858317</f>
        <v>1760.8583169999999</v>
      </c>
      <c r="DB31">
        <f>1393.970841</f>
        <v>1393.9708410000001</v>
      </c>
      <c r="DC31">
        <f>1182.446791</f>
        <v>1182.4467910000001</v>
      </c>
      <c r="DD31" t="str">
        <f>""</f>
        <v/>
      </c>
      <c r="DE31" t="str">
        <f>""</f>
        <v/>
      </c>
      <c r="DF31" t="str">
        <f>""</f>
        <v/>
      </c>
      <c r="DG31" t="str">
        <f>""</f>
        <v/>
      </c>
      <c r="DH31" t="str">
        <f>""</f>
        <v/>
      </c>
      <c r="DI31" t="str">
        <f>""</f>
        <v/>
      </c>
      <c r="DJ31" t="str">
        <f>""</f>
        <v/>
      </c>
      <c r="DK31" t="str">
        <f>""</f>
        <v/>
      </c>
      <c r="DL31" t="str">
        <f>""</f>
        <v/>
      </c>
      <c r="DM31" t="str">
        <f>""</f>
        <v/>
      </c>
      <c r="DN31" t="str">
        <f>""</f>
        <v/>
      </c>
      <c r="DO31" t="str">
        <f>""</f>
        <v/>
      </c>
      <c r="DP31" t="str">
        <f>""</f>
        <v/>
      </c>
      <c r="DQ31" t="str">
        <f>""</f>
        <v/>
      </c>
      <c r="DR31" t="str">
        <f>""</f>
        <v/>
      </c>
      <c r="DS31" t="str">
        <f>""</f>
        <v/>
      </c>
    </row>
    <row r="32" spans="1:123" x14ac:dyDescent="0.25">
      <c r="A32" t="str">
        <f>"By Geography ($M) - Mitsubishi"</f>
        <v>By Geography ($M) - Mitsubishi</v>
      </c>
      <c r="B32" t="str">
        <f>"7211 JP Equity"</f>
        <v>7211 JP Equity</v>
      </c>
      <c r="C32" t="str">
        <f>"IS010"</f>
        <v>IS010</v>
      </c>
      <c r="D32" t="str">
        <f>"SALES_REV_TURN"</f>
        <v>SALES_REV_TURN</v>
      </c>
      <c r="E32" t="str">
        <f t="shared" si="1"/>
        <v>Dynamic</v>
      </c>
      <c r="F32">
        <f ca="1">IF(AND(ISNUMBER($F$83),$B$53=1),$F$83,HLOOKUP(INDIRECT(ADDRESS(2,COLUMN())),OFFSET($BM$2,0,0,ROW()-1,59),ROW()-1,FALSE))</f>
        <v>5542.0769280000004</v>
      </c>
      <c r="G32">
        <f ca="1">IF(AND(ISNUMBER($G$83),$B$53=1),$G$83,HLOOKUP(INDIRECT(ADDRESS(2,COLUMN())),OFFSET($BM$2,0,0,ROW()-1,59),ROW()-1,FALSE))</f>
        <v>5464.9288429999997</v>
      </c>
      <c r="H32">
        <f ca="1">IF(AND(ISNUMBER($H$83),$B$53=1),$H$83,HLOOKUP(INDIRECT(ADDRESS(2,COLUMN())),OFFSET($BM$2,0,0,ROW()-1,59),ROW()-1,FALSE))</f>
        <v>5133.2305889999998</v>
      </c>
      <c r="I32">
        <f ca="1">IF(AND(ISNUMBER($I$83),$B$53=1),$I$83,HLOOKUP(INDIRECT(ADDRESS(2,COLUMN())),OFFSET($BM$2,0,0,ROW()-1,59),ROW()-1,FALSE))</f>
        <v>6225.1652830000003</v>
      </c>
      <c r="J32">
        <f ca="1">IF(AND(ISNUMBER($J$83),$B$53=1),$J$83,HLOOKUP(INDIRECT(ADDRESS(2,COLUMN())),OFFSET($BM$2,0,0,ROW()-1,59),ROW()-1,FALSE))</f>
        <v>5053.276261</v>
      </c>
      <c r="K32">
        <f ca="1">IF(AND(ISNUMBER($K$83),$B$53=1),$K$83,HLOOKUP(INDIRECT(ADDRESS(2,COLUMN())),OFFSET($BM$2,0,0,ROW()-1,59),ROW()-1,FALSE))</f>
        <v>4567.3805229999998</v>
      </c>
      <c r="L32">
        <f ca="1">IF(AND(ISNUMBER($L$83),$B$53=1),$L$83,HLOOKUP(INDIRECT(ADDRESS(2,COLUMN())),OFFSET($BM$2,0,0,ROW()-1,59),ROW()-1,FALSE))</f>
        <v>3967.9650419999998</v>
      </c>
      <c r="M32">
        <f ca="1">IF(AND(ISNUMBER($M$83),$B$53=1),$M$83,HLOOKUP(INDIRECT(ADDRESS(2,COLUMN())),OFFSET($BM$2,0,0,ROW()-1,59),ROW()-1,FALSE))</f>
        <v>4973.4439519999996</v>
      </c>
      <c r="N32">
        <f ca="1">IF(AND(ISNUMBER($N$83),$B$53=1),$N$83,HLOOKUP(INDIRECT(ADDRESS(2,COLUMN())),OFFSET($BM$2,0,0,ROW()-1,59),ROW()-1,FALSE))</f>
        <v>4363.0423199999996</v>
      </c>
      <c r="O32">
        <f ca="1">IF(AND(ISNUMBER($O$83),$B$53=1),$O$83,HLOOKUP(INDIRECT(ADDRESS(2,COLUMN())),OFFSET($BM$2,0,0,ROW()-1,59),ROW()-1,FALSE))</f>
        <v>4261.81567</v>
      </c>
      <c r="P32">
        <f ca="1">IF(AND(ISNUMBER($P$83),$B$53=1),$P$83,HLOOKUP(INDIRECT(ADDRESS(2,COLUMN())),OFFSET($BM$2,0,0,ROW()-1,59),ROW()-1,FALSE))</f>
        <v>3973.7640409999999</v>
      </c>
      <c r="Q32">
        <f ca="1">IF(AND(ISNUMBER($Q$83),$B$53=1),$Q$83,HLOOKUP(INDIRECT(ADDRESS(2,COLUMN())),OFFSET($BM$2,0,0,ROW()-1,59),ROW()-1,FALSE))</f>
        <v>5260.8974619999999</v>
      </c>
      <c r="R32">
        <f ca="1">IF(AND(ISNUMBER($R$83),$B$53=1),$R$83,HLOOKUP(INDIRECT(ADDRESS(2,COLUMN())),OFFSET($BM$2,0,0,ROW()-1,59),ROW()-1,FALSE))</f>
        <v>4877.7736409999998</v>
      </c>
      <c r="S32">
        <f ca="1">IF(AND(ISNUMBER($S$83),$B$53=1),$S$83,HLOOKUP(INDIRECT(ADDRESS(2,COLUMN())),OFFSET($BM$2,0,0,ROW()-1,59),ROW()-1,FALSE))</f>
        <v>4661.3284839999997</v>
      </c>
      <c r="T32">
        <f ca="1">IF(AND(ISNUMBER($T$83),$B$53=1),$T$83,HLOOKUP(INDIRECT(ADDRESS(2,COLUMN())),OFFSET($BM$2,0,0,ROW()-1,59),ROW()-1,FALSE))</f>
        <v>4125.2713910000002</v>
      </c>
      <c r="U32">
        <f ca="1">IF(AND(ISNUMBER($U$83),$B$53=1),$U$83,HLOOKUP(INDIRECT(ADDRESS(2,COLUMN())),OFFSET($BM$2,0,0,ROW()-1,59),ROW()-1,FALSE))</f>
        <v>4969.453321</v>
      </c>
      <c r="V32">
        <f ca="1">IF(AND(ISNUMBER($V$83),$B$53=1),$V$83,HLOOKUP(INDIRECT(ADDRESS(2,COLUMN())),OFFSET($BM$2,0,0,ROW()-1,59),ROW()-1,FALSE))</f>
        <v>4842.0872680000002</v>
      </c>
      <c r="W32">
        <f ca="1">IF(AND(ISNUMBER($W$83),$B$53=1),$W$83,HLOOKUP(INDIRECT(ADDRESS(2,COLUMN())),OFFSET($BM$2,0,0,ROW()-1,59),ROW()-1,FALSE))</f>
        <v>5015.9777199999999</v>
      </c>
      <c r="X32">
        <f ca="1">IF(AND(ISNUMBER($X$83),$B$53=1),$X$83,HLOOKUP(INDIRECT(ADDRESS(2,COLUMN())),OFFSET($BM$2,0,0,ROW()-1,59),ROW()-1,FALSE))</f>
        <v>5031.7292530000004</v>
      </c>
      <c r="Y32">
        <f ca="1">IF(AND(ISNUMBER($Y$83),$B$53=1),$Y$83,HLOOKUP(INDIRECT(ADDRESS(2,COLUMN())),OFFSET($BM$2,0,0,ROW()-1,59),ROW()-1,FALSE))</f>
        <v>5590.8337199999996</v>
      </c>
      <c r="Z32">
        <f ca="1">IF(AND(ISNUMBER($Z$83),$B$53=1),$Z$83,HLOOKUP(INDIRECT(ADDRESS(2,COLUMN())),OFFSET($BM$2,0,0,ROW()-1,59),ROW()-1,FALSE))</f>
        <v>5874.5858779999999</v>
      </c>
      <c r="AA32">
        <f ca="1">IF(AND(ISNUMBER($AA$83),$B$53=1),$AA$83,HLOOKUP(INDIRECT(ADDRESS(2,COLUMN())),OFFSET($BM$2,0,0,ROW()-1,59),ROW()-1,FALSE))</f>
        <v>5252.4815509999999</v>
      </c>
      <c r="AB32">
        <f ca="1">IF(AND(ISNUMBER($AB$83),$B$53=1),$AB$83,HLOOKUP(INDIRECT(ADDRESS(2,COLUMN())),OFFSET($BM$2,0,0,ROW()-1,59),ROW()-1,FALSE))</f>
        <v>4150.1397219999999</v>
      </c>
      <c r="AC32">
        <f ca="1">IF(AND(ISNUMBER($AC$83),$B$53=1),$AC$83,HLOOKUP(INDIRECT(ADDRESS(2,COLUMN())),OFFSET($BM$2,0,0,ROW()-1,59),ROW()-1,FALSE))</f>
        <v>5780.843785</v>
      </c>
      <c r="AD32">
        <f ca="1">IF(AND(ISNUMBER($AD$83),$B$53=1),$AD$83,HLOOKUP(INDIRECT(ADDRESS(2,COLUMN())),OFFSET($BM$2,0,0,ROW()-1,59),ROW()-1,FALSE))</f>
        <v>5208.3888960000004</v>
      </c>
      <c r="AE32">
        <f ca="1">IF(AND(ISNUMBER($AE$83),$B$53=1),$AE$83,HLOOKUP(INDIRECT(ADDRESS(2,COLUMN())),OFFSET($BM$2,0,0,ROW()-1,59),ROW()-1,FALSE))</f>
        <v>5604.233193</v>
      </c>
      <c r="AF32">
        <f ca="1">IF(AND(ISNUMBER($AF$83),$B$53=1),$AF$83,HLOOKUP(INDIRECT(ADDRESS(2,COLUMN())),OFFSET($BM$2,0,0,ROW()-1,59),ROW()-1,FALSE))</f>
        <v>5236.9888469999996</v>
      </c>
      <c r="AG32">
        <f ca="1">IF(AND(ISNUMBER($AG$83),$B$53=1),$AG$83,HLOOKUP(INDIRECT(ADDRESS(2,COLUMN())),OFFSET($BM$2,0,0,ROW()-1,59),ROW()-1,FALSE))</f>
        <v>6488.0536819999998</v>
      </c>
      <c r="AH32">
        <f ca="1">IF(AND(ISNUMBER($AH$83),$B$53=1),$AH$83,HLOOKUP(INDIRECT(ADDRESS(2,COLUMN())),OFFSET($BM$2,0,0,ROW()-1,59),ROW()-1,FALSE))</f>
        <v>4986.3084580000004</v>
      </c>
      <c r="AI32">
        <f ca="1">IF(AND(ISNUMBER($AI$83),$B$53=1),$AI$83,HLOOKUP(INDIRECT(ADDRESS(2,COLUMN())),OFFSET($BM$2,0,0,ROW()-1,59),ROW()-1,FALSE))</f>
        <v>6123.6209349999999</v>
      </c>
      <c r="AJ32">
        <f ca="1">IF(AND(ISNUMBER($AJ$83),$B$53=1),$AJ$83,HLOOKUP(INDIRECT(ADDRESS(2,COLUMN())),OFFSET($BM$2,0,0,ROW()-1,59),ROW()-1,FALSE))</f>
        <v>5298.4217259999996</v>
      </c>
      <c r="AK32">
        <f ca="1">IF(AND(ISNUMBER($AK$83),$B$53=1),$AK$83,HLOOKUP(INDIRECT(ADDRESS(2,COLUMN())),OFFSET($BM$2,0,0,ROW()-1,59),ROW()-1,FALSE))</f>
        <v>6295.2782999999999</v>
      </c>
      <c r="AL32">
        <f ca="1">IF(AND(ISNUMBER($AL$83),$B$53=1),$AL$83,HLOOKUP(INDIRECT(ADDRESS(2,COLUMN())),OFFSET($BM$2,0,0,ROW()-1,59),ROW()-1,FALSE))</f>
        <v>5405.9614060000004</v>
      </c>
      <c r="AM32">
        <f ca="1">IF(AND(ISNUMBER($AM$83),$B$53=1),$AM$83,HLOOKUP(INDIRECT(ADDRESS(2,COLUMN())),OFFSET($BM$2,0,0,ROW()-1,59),ROW()-1,FALSE))</f>
        <v>5376.6003979999996</v>
      </c>
      <c r="AN32">
        <f ca="1">IF(AND(ISNUMBER($AN$83),$B$53=1),$AN$83,HLOOKUP(INDIRECT(ADDRESS(2,COLUMN())),OFFSET($BM$2,0,0,ROW()-1,59),ROW()-1,FALSE))</f>
        <v>4386.2824199999995</v>
      </c>
      <c r="AO32">
        <f ca="1">IF(AND(ISNUMBER($AO$83),$B$53=1),$AO$83,HLOOKUP(INDIRECT(ADDRESS(2,COLUMN())),OFFSET($BM$2,0,0,ROW()-1,59),ROW()-1,FALSE))</f>
        <v>5442.8222340000002</v>
      </c>
      <c r="AP32">
        <f ca="1">IF(AND(ISNUMBER($AP$83),$B$53=1),$AP$83,HLOOKUP(INDIRECT(ADDRESS(2,COLUMN())),OFFSET($BM$2,0,0,ROW()-1,59),ROW()-1,FALSE))</f>
        <v>4220.4958859999997</v>
      </c>
      <c r="AQ32">
        <f ca="1">IF(AND(ISNUMBER($AQ$83),$B$53=1),$AQ$83,HLOOKUP(INDIRECT(ADDRESS(2,COLUMN())),OFFSET($BM$2,0,0,ROW()-1,59),ROW()-1,FALSE))</f>
        <v>3357.0052420000002</v>
      </c>
      <c r="AR32">
        <f ca="1">IF(AND(ISNUMBER($AR$83),$B$53=1),$AR$83,HLOOKUP(INDIRECT(ADDRESS(2,COLUMN())),OFFSET($BM$2,0,0,ROW()-1,59),ROW()-1,FALSE))</f>
        <v>2662.6672739999999</v>
      </c>
      <c r="AS32">
        <f ca="1">IF(AND(ISNUMBER($AS$83),$B$53=1),$AS$83,HLOOKUP(INDIRECT(ADDRESS(2,COLUMN())),OFFSET($BM$2,0,0,ROW()-1,59),ROW()-1,FALSE))</f>
        <v>3372.1904559999998</v>
      </c>
      <c r="AT32">
        <f ca="1">IF(AND(ISNUMBER($AT$83),$B$53=1),$AT$83,HLOOKUP(INDIRECT(ADDRESS(2,COLUMN())),OFFSET($BM$2,0,0,ROW()-1,59),ROW()-1,FALSE))</f>
        <v>4634.1342070000001</v>
      </c>
      <c r="AU32">
        <f ca="1">IF(AND(ISNUMBER($AU$83),$B$53=1),$AU$83,HLOOKUP(INDIRECT(ADDRESS(2,COLUMN())),OFFSET($BM$2,0,0,ROW()-1,59),ROW()-1,FALSE))</f>
        <v>5613.7655329999998</v>
      </c>
      <c r="AV32">
        <f ca="1">IF(AND(ISNUMBER($AV$83),$B$53=1),$AV$83,HLOOKUP(INDIRECT(ADDRESS(2,COLUMN())),OFFSET($BM$2,0,0,ROW()-1,59),ROW()-1,FALSE))</f>
        <v>5833.5699050000003</v>
      </c>
      <c r="AW32">
        <f ca="1">IF(AND(ISNUMBER($AW$83),$B$53=1),$AW$83,HLOOKUP(INDIRECT(ADDRESS(2,COLUMN())),OFFSET($BM$2,0,0,ROW()-1,59),ROW()-1,FALSE))</f>
        <v>6984.1265960000001</v>
      </c>
      <c r="AX32">
        <f ca="1">IF(AND(ISNUMBER($AX$83),$B$53=1),$AX$83,HLOOKUP(INDIRECT(ADDRESS(2,COLUMN())),OFFSET($BM$2,0,0,ROW()-1,59),ROW()-1,FALSE))</f>
        <v>5604.1737659999999</v>
      </c>
      <c r="AY32">
        <f ca="1">IF(AND(ISNUMBER($AY$83),$B$53=1),$AY$83,HLOOKUP(INDIRECT(ADDRESS(2,COLUMN())),OFFSET($BM$2,0,0,ROW()-1,59),ROW()-1,FALSE))</f>
        <v>5798.6562739999999</v>
      </c>
      <c r="AZ32">
        <f ca="1">IF(AND(ISNUMBER($AZ$83),$B$53=1),$AZ$83,HLOOKUP(INDIRECT(ADDRESS(2,COLUMN())),OFFSET($BM$2,0,0,ROW()-1,59),ROW()-1,FALSE))</f>
        <v>5222.3752370000002</v>
      </c>
      <c r="BA32">
        <f ca="1">IF(AND(ISNUMBER($BA$83),$B$53=1),$BA$83,HLOOKUP(INDIRECT(ADDRESS(2,COLUMN())),OFFSET($BM$2,0,0,ROW()-1,59),ROW()-1,FALSE))</f>
        <v>5519.8096619999997</v>
      </c>
      <c r="BB32">
        <f ca="1">IF(AND(ISNUMBER($BB$83),$B$53=1),$BB$83,HLOOKUP(INDIRECT(ADDRESS(2,COLUMN())),OFFSET($BM$2,0,0,ROW()-1,59),ROW()-1,FALSE))</f>
        <v>4574.6613269999998</v>
      </c>
      <c r="BC32">
        <f ca="1">IF(AND(ISNUMBER($BC$83),$B$53=1),$BC$83,HLOOKUP(INDIRECT(ADDRESS(2,COLUMN())),OFFSET($BM$2,0,0,ROW()-1,59),ROW()-1,FALSE))</f>
        <v>4485.3671869999998</v>
      </c>
      <c r="BD32">
        <f ca="1">IF(AND(ISNUMBER($BD$83),$B$53=1),$BD$83,HLOOKUP(INDIRECT(ADDRESS(2,COLUMN())),OFFSET($BM$2,0,0,ROW()-1,59),ROW()-1,FALSE))</f>
        <v>4233.0630890000002</v>
      </c>
      <c r="BE32">
        <f ca="1">IF(AND(ISNUMBER($BE$83),$B$53=1),$BE$83,HLOOKUP(INDIRECT(ADDRESS(2,COLUMN())),OFFSET($BM$2,0,0,ROW()-1,59),ROW()-1,FALSE))</f>
        <v>5051.8916559999998</v>
      </c>
      <c r="BF32">
        <f ca="1">IF(AND(ISNUMBER($BF$83),$B$53=1),$BF$83,HLOOKUP(INDIRECT(ADDRESS(2,COLUMN())),OFFSET($BM$2,0,0,ROW()-1,59),ROW()-1,FALSE))</f>
        <v>4591.8585629999998</v>
      </c>
      <c r="BG32">
        <f ca="1">IF(AND(ISNUMBER($BG$83),$B$53=1),$BG$83,HLOOKUP(INDIRECT(ADDRESS(2,COLUMN())),OFFSET($BM$2,0,0,ROW()-1,59),ROW()-1,FALSE))</f>
        <v>4544.467498</v>
      </c>
      <c r="BH32">
        <f ca="1">IF(AND(ISNUMBER($BH$83),$B$53=1),$BH$83,HLOOKUP(INDIRECT(ADDRESS(2,COLUMN())),OFFSET($BM$2,0,0,ROW()-1,59),ROW()-1,FALSE))</f>
        <v>4517.9832029999998</v>
      </c>
      <c r="BI32">
        <f ca="1">IF(AND(ISNUMBER($BI$83),$B$53=1),$BI$83,HLOOKUP(INDIRECT(ADDRESS(2,COLUMN())),OFFSET($BM$2,0,0,ROW()-1,59),ROW()-1,FALSE))</f>
        <v>4829.4855429999998</v>
      </c>
      <c r="BJ32">
        <f ca="1">IF(AND(ISNUMBER($BJ$83),$B$53=1),$BJ$83,HLOOKUP(INDIRECT(ADDRESS(2,COLUMN())),OFFSET($BM$2,0,0,ROW()-1,59),ROW()-1,FALSE))</f>
        <v>5178.78521</v>
      </c>
      <c r="BK32">
        <f ca="1">IF(AND(ISNUMBER($BK$83),$B$53=1),$BK$83,HLOOKUP(INDIRECT(ADDRESS(2,COLUMN())),OFFSET($BM$2,0,0,ROW()-1,59),ROW()-1,FALSE))</f>
        <v>4669.2374659999996</v>
      </c>
      <c r="BL32">
        <f ca="1">IF(AND(ISNUMBER($BL$83),$B$53=1),$BL$83,HLOOKUP(INDIRECT(ADDRESS(2,COLUMN())),OFFSET($BM$2,0,0,ROW()-1,59),ROW()-1,FALSE))</f>
        <v>5085.5443720000003</v>
      </c>
      <c r="BM32">
        <f>5542.076928</f>
        <v>5542.0769280000004</v>
      </c>
      <c r="BN32">
        <f>5464.928843</f>
        <v>5464.9288429999997</v>
      </c>
      <c r="BO32">
        <f>5133.230589</f>
        <v>5133.2305889999998</v>
      </c>
      <c r="BP32">
        <f>6225.165283</f>
        <v>6225.1652830000003</v>
      </c>
      <c r="BQ32">
        <f>5053.276261</f>
        <v>5053.276261</v>
      </c>
      <c r="BR32">
        <f>4567.380523</f>
        <v>4567.3805229999998</v>
      </c>
      <c r="BS32">
        <f>3967.965042</f>
        <v>3967.9650419999998</v>
      </c>
      <c r="BT32">
        <f>4973.443952</f>
        <v>4973.4439519999996</v>
      </c>
      <c r="BU32">
        <f>4363.04232</f>
        <v>4363.0423199999996</v>
      </c>
      <c r="BV32">
        <f>4261.81567</f>
        <v>4261.81567</v>
      </c>
      <c r="BW32">
        <f>3973.764041</f>
        <v>3973.7640409999999</v>
      </c>
      <c r="BX32">
        <f>5260.897462</f>
        <v>5260.8974619999999</v>
      </c>
      <c r="BY32">
        <f>4877.773641</f>
        <v>4877.7736409999998</v>
      </c>
      <c r="BZ32">
        <f>4661.328484</f>
        <v>4661.3284839999997</v>
      </c>
      <c r="CA32">
        <f>4125.271391</f>
        <v>4125.2713910000002</v>
      </c>
      <c r="CB32">
        <f>4969.453321</f>
        <v>4969.453321</v>
      </c>
      <c r="CC32">
        <f>4842.087268</f>
        <v>4842.0872680000002</v>
      </c>
      <c r="CD32">
        <f>5015.97772</f>
        <v>5015.9777199999999</v>
      </c>
      <c r="CE32">
        <f>5031.729253</f>
        <v>5031.7292530000004</v>
      </c>
      <c r="CF32">
        <f>5590.83372</f>
        <v>5590.8337199999996</v>
      </c>
      <c r="CG32">
        <f>5874.585878</f>
        <v>5874.5858779999999</v>
      </c>
      <c r="CH32">
        <f>5252.481551</f>
        <v>5252.4815509999999</v>
      </c>
      <c r="CI32">
        <f>4150.139722</f>
        <v>4150.1397219999999</v>
      </c>
      <c r="CJ32">
        <f>5780.843785</f>
        <v>5780.843785</v>
      </c>
      <c r="CK32">
        <f>5208.388896</f>
        <v>5208.3888960000004</v>
      </c>
      <c r="CL32">
        <f>5604.233193</f>
        <v>5604.233193</v>
      </c>
      <c r="CM32">
        <f>5236.988847</f>
        <v>5236.9888469999996</v>
      </c>
      <c r="CN32">
        <f>6488.053682</f>
        <v>6488.0536819999998</v>
      </c>
      <c r="CO32">
        <f>4986.308458</f>
        <v>4986.3084580000004</v>
      </c>
      <c r="CP32">
        <f>6123.620935</f>
        <v>6123.6209349999999</v>
      </c>
      <c r="CQ32">
        <f>5298.421726</f>
        <v>5298.4217259999996</v>
      </c>
      <c r="CR32">
        <f>6295.2783</f>
        <v>6295.2782999999999</v>
      </c>
      <c r="CS32">
        <f>5405.961406</f>
        <v>5405.9614060000004</v>
      </c>
      <c r="CT32">
        <f>5376.600398</f>
        <v>5376.6003979999996</v>
      </c>
      <c r="CU32">
        <f>4386.28242</f>
        <v>4386.2824199999995</v>
      </c>
      <c r="CV32">
        <f>5442.822234</f>
        <v>5442.8222340000002</v>
      </c>
      <c r="CW32">
        <f>4220.495886</f>
        <v>4220.4958859999997</v>
      </c>
      <c r="CX32">
        <f>3357.005242</f>
        <v>3357.0052420000002</v>
      </c>
      <c r="CY32">
        <f>2662.667274</f>
        <v>2662.6672739999999</v>
      </c>
      <c r="CZ32">
        <f>3372.190456</f>
        <v>3372.1904559999998</v>
      </c>
      <c r="DA32">
        <f>4634.134207</f>
        <v>4634.1342070000001</v>
      </c>
      <c r="DB32">
        <f>5613.765533</f>
        <v>5613.7655329999998</v>
      </c>
      <c r="DC32">
        <f>5833.569905</f>
        <v>5833.5699050000003</v>
      </c>
      <c r="DD32">
        <f>6984.126596</f>
        <v>6984.1265960000001</v>
      </c>
      <c r="DE32">
        <f>5604.173766</f>
        <v>5604.1737659999999</v>
      </c>
      <c r="DF32">
        <f>5798.656274</f>
        <v>5798.6562739999999</v>
      </c>
      <c r="DG32">
        <f>5222.375237</f>
        <v>5222.3752370000002</v>
      </c>
      <c r="DH32">
        <f>5519.809662</f>
        <v>5519.8096619999997</v>
      </c>
      <c r="DI32">
        <f>4574.661327</f>
        <v>4574.6613269999998</v>
      </c>
      <c r="DJ32">
        <f>4485.367187</f>
        <v>4485.3671869999998</v>
      </c>
      <c r="DK32">
        <f>4233.063089</f>
        <v>4233.0630890000002</v>
      </c>
      <c r="DL32">
        <f>5051.891656</f>
        <v>5051.8916559999998</v>
      </c>
      <c r="DM32">
        <f>4591.858563</f>
        <v>4591.8585629999998</v>
      </c>
      <c r="DN32">
        <f>4544.467498</f>
        <v>4544.467498</v>
      </c>
      <c r="DO32">
        <f>4517.983203</f>
        <v>4517.9832029999998</v>
      </c>
      <c r="DP32">
        <f>4829.485543</f>
        <v>4829.4855429999998</v>
      </c>
      <c r="DQ32">
        <f>5178.78521</f>
        <v>5178.78521</v>
      </c>
      <c r="DR32">
        <f>4669.237466</f>
        <v>4669.2374659999996</v>
      </c>
      <c r="DS32">
        <f>5085.544372</f>
        <v>5085.5443720000003</v>
      </c>
    </row>
    <row r="33" spans="1:123" x14ac:dyDescent="0.25">
      <c r="A33" t="str">
        <f>"        North America"</f>
        <v xml:space="preserve">        North America</v>
      </c>
      <c r="B33" t="str">
        <f>"7211 JP Equity"</f>
        <v>7211 JP Equity</v>
      </c>
      <c r="C33" t="str">
        <f>"BI047"</f>
        <v>BI047</v>
      </c>
      <c r="D33" t="str">
        <f>"BICS_SEGMENT_DATA"</f>
        <v>BICS_SEGMENT_DATA</v>
      </c>
      <c r="E33" t="str">
        <f t="shared" si="1"/>
        <v>Dynamic</v>
      </c>
      <c r="F33">
        <f ca="1">IF(AND(ISNUMBER($F$84),$B$53=1),$F$84,HLOOKUP(INDIRECT(ADDRESS(2,COLUMN())),OFFSET($BM$2,0,0,ROW()-1,59),ROW()-1,FALSE))</f>
        <v>690.93001040000001</v>
      </c>
      <c r="G33">
        <f ca="1">IF(AND(ISNUMBER($G$84),$B$53=1),$G$84,HLOOKUP(INDIRECT(ADDRESS(2,COLUMN())),OFFSET($BM$2,0,0,ROW()-1,59),ROW()-1,FALSE))</f>
        <v>823.7984477</v>
      </c>
      <c r="H33">
        <f ca="1">IF(AND(ISNUMBER($H$84),$B$53=1),$H$84,HLOOKUP(INDIRECT(ADDRESS(2,COLUMN())),OFFSET($BM$2,0,0,ROW()-1,59),ROW()-1,FALSE))</f>
        <v>864.68737429999999</v>
      </c>
      <c r="I33">
        <f ca="1">IF(AND(ISNUMBER($I$84),$B$53=1),$I$84,HLOOKUP(INDIRECT(ADDRESS(2,COLUMN())),OFFSET($BM$2,0,0,ROW()-1,59),ROW()-1,FALSE))</f>
        <v>1057.0502369999999</v>
      </c>
      <c r="J33">
        <f ca="1">IF(AND(ISNUMBER($J$84),$B$53=1),$J$84,HLOOKUP(INDIRECT(ADDRESS(2,COLUMN())),OFFSET($BM$2,0,0,ROW()-1,59),ROW()-1,FALSE))</f>
        <v>802.64394589999995</v>
      </c>
      <c r="K33">
        <f ca="1">IF(AND(ISNUMBER($K$84),$B$53=1),$K$84,HLOOKUP(INDIRECT(ADDRESS(2,COLUMN())),OFFSET($BM$2,0,0,ROW()-1,59),ROW()-1,FALSE))</f>
        <v>699.72194620000005</v>
      </c>
      <c r="L33">
        <f ca="1">IF(AND(ISNUMBER($L$84),$B$53=1),$L$84,HLOOKUP(INDIRECT(ADDRESS(2,COLUMN())),OFFSET($BM$2,0,0,ROW()-1,59),ROW()-1,FALSE))</f>
        <v>628.09478809999996</v>
      </c>
      <c r="M33">
        <f ca="1">IF(AND(ISNUMBER($M$84),$B$53=1),$M$84,HLOOKUP(INDIRECT(ADDRESS(2,COLUMN())),OFFSET($BM$2,0,0,ROW()-1,59),ROW()-1,FALSE))</f>
        <v>804.90125130000001</v>
      </c>
      <c r="N33">
        <f ca="1">IF(AND(ISNUMBER($N$84),$B$53=1),$N$84,HLOOKUP(INDIRECT(ADDRESS(2,COLUMN())),OFFSET($BM$2,0,0,ROW()-1,59),ROW()-1,FALSE))</f>
        <v>551.17718349999996</v>
      </c>
      <c r="O33">
        <f ca="1">IF(AND(ISNUMBER($O$84),$B$53=1),$O$84,HLOOKUP(INDIRECT(ADDRESS(2,COLUMN())),OFFSET($BM$2,0,0,ROW()-1,59),ROW()-1,FALSE))</f>
        <v>694.78520149999997</v>
      </c>
      <c r="P33">
        <f ca="1">IF(AND(ISNUMBER($P$84),$B$53=1),$P$84,HLOOKUP(INDIRECT(ADDRESS(2,COLUMN())),OFFSET($BM$2,0,0,ROW()-1,59),ROW()-1,FALSE))</f>
        <v>689.34608760000003</v>
      </c>
      <c r="Q33">
        <f ca="1">IF(AND(ISNUMBER($Q$84),$B$53=1),$Q$84,HLOOKUP(INDIRECT(ADDRESS(2,COLUMN())),OFFSET($BM$2,0,0,ROW()-1,59),ROW()-1,FALSE))</f>
        <v>612.11754629999996</v>
      </c>
      <c r="R33">
        <f ca="1">IF(AND(ISNUMBER($R$84),$B$53=1),$R$84,HLOOKUP(INDIRECT(ADDRESS(2,COLUMN())),OFFSET($BM$2,0,0,ROW()-1,59),ROW()-1,FALSE))</f>
        <v>617.90536380000003</v>
      </c>
      <c r="S33">
        <f ca="1">IF(AND(ISNUMBER($S$84),$B$53=1),$S$84,HLOOKUP(INDIRECT(ADDRESS(2,COLUMN())),OFFSET($BM$2,0,0,ROW()-1,59),ROW()-1,FALSE))</f>
        <v>788.40056630000004</v>
      </c>
      <c r="T33">
        <f ca="1">IF(AND(ISNUMBER($T$84),$B$53=1),$T$84,HLOOKUP(INDIRECT(ADDRESS(2,COLUMN())),OFFSET($BM$2,0,0,ROW()-1,59),ROW()-1,FALSE))</f>
        <v>684.66741609999997</v>
      </c>
      <c r="U33">
        <f ca="1">IF(AND(ISNUMBER($U$84),$B$53=1),$U$84,HLOOKUP(INDIRECT(ADDRESS(2,COLUMN())),OFFSET($BM$2,0,0,ROW()-1,59),ROW()-1,FALSE))</f>
        <v>663.39604120000001</v>
      </c>
      <c r="V33">
        <f ca="1">IF(AND(ISNUMBER($V$84),$B$53=1),$V$84,HLOOKUP(INDIRECT(ADDRESS(2,COLUMN())),OFFSET($BM$2,0,0,ROW()-1,59),ROW()-1,FALSE))</f>
        <v>697.73964850000004</v>
      </c>
      <c r="W33">
        <f ca="1">IF(AND(ISNUMBER($W$84),$B$53=1),$W$84,HLOOKUP(INDIRECT(ADDRESS(2,COLUMN())),OFFSET($BM$2,0,0,ROW()-1,59),ROW()-1,FALSE))</f>
        <v>665.96240980000005</v>
      </c>
      <c r="X33">
        <f ca="1">IF(AND(ISNUMBER($X$84),$B$53=1),$X$84,HLOOKUP(INDIRECT(ADDRESS(2,COLUMN())),OFFSET($BM$2,0,0,ROW()-1,59),ROW()-1,FALSE))</f>
        <v>468.31039490000001</v>
      </c>
      <c r="Y33">
        <f ca="1">IF(AND(ISNUMBER($Y$84),$B$53=1),$Y$84,HLOOKUP(INDIRECT(ADDRESS(2,COLUMN())),OFFSET($BM$2,0,0,ROW()-1,59),ROW()-1,FALSE))</f>
        <v>515.69890080000005</v>
      </c>
      <c r="Z33">
        <f ca="1">IF(AND(ISNUMBER($Z$84),$B$53=1),$Z$84,HLOOKUP(INDIRECT(ADDRESS(2,COLUMN())),OFFSET($BM$2,0,0,ROW()-1,59),ROW()-1,FALSE))</f>
        <v>681.31006549999995</v>
      </c>
      <c r="AA33">
        <f ca="1">IF(AND(ISNUMBER($AA$84),$B$53=1),$AA$84,HLOOKUP(INDIRECT(ADDRESS(2,COLUMN())),OFFSET($BM$2,0,0,ROW()-1,59),ROW()-1,FALSE))</f>
        <v>643.97056039999995</v>
      </c>
      <c r="AB33">
        <f ca="1">IF(AND(ISNUMBER($AB$84),$B$53=1),$AB$84,HLOOKUP(INDIRECT(ADDRESS(2,COLUMN())),OFFSET($BM$2,0,0,ROW()-1,59),ROW()-1,FALSE))</f>
        <v>448.82429409999997</v>
      </c>
      <c r="AC33">
        <f ca="1">IF(AND(ISNUMBER($AC$84),$B$53=1),$AC$84,HLOOKUP(INDIRECT(ADDRESS(2,COLUMN())),OFFSET($BM$2,0,0,ROW()-1,59),ROW()-1,FALSE))</f>
        <v>491.38105819999998</v>
      </c>
      <c r="AD33">
        <f ca="1">IF(AND(ISNUMBER($AD$84),$B$53=1),$AD$84,HLOOKUP(INDIRECT(ADDRESS(2,COLUMN())),OFFSET($BM$2,0,0,ROW()-1,59),ROW()-1,FALSE))</f>
        <v>401.5325282</v>
      </c>
      <c r="AE33">
        <f ca="1">IF(AND(ISNUMBER($AE$84),$B$53=1),$AE$84,HLOOKUP(INDIRECT(ADDRESS(2,COLUMN())),OFFSET($BM$2,0,0,ROW()-1,59),ROW()-1,FALSE))</f>
        <v>467.37552840000001</v>
      </c>
      <c r="AF33">
        <f ca="1">IF(AND(ISNUMBER($AF$84),$B$53=1),$AF$84,HLOOKUP(INDIRECT(ADDRESS(2,COLUMN())),OFFSET($BM$2,0,0,ROW()-1,59),ROW()-1,FALSE))</f>
        <v>537.59271239999998</v>
      </c>
      <c r="AG33">
        <f ca="1">IF(AND(ISNUMBER($AG$84),$B$53=1),$AG$84,HLOOKUP(INDIRECT(ADDRESS(2,COLUMN())),OFFSET($BM$2,0,0,ROW()-1,59),ROW()-1,FALSE))</f>
        <v>673.39703489999999</v>
      </c>
      <c r="AH33">
        <f ca="1">IF(AND(ISNUMBER($AH$84),$B$53=1),$AH$84,HLOOKUP(INDIRECT(ADDRESS(2,COLUMN())),OFFSET($BM$2,0,0,ROW()-1,59),ROW()-1,FALSE))</f>
        <v>578.13508720000004</v>
      </c>
      <c r="AI33">
        <f ca="1">IF(AND(ISNUMBER($AI$84),$B$53=1),$AI$84,HLOOKUP(INDIRECT(ADDRESS(2,COLUMN())),OFFSET($BM$2,0,0,ROW()-1,59),ROW()-1,FALSE))</f>
        <v>718.66550419999999</v>
      </c>
      <c r="AJ33">
        <f ca="1">IF(AND(ISNUMBER($AJ$84),$B$53=1),$AJ$84,HLOOKUP(INDIRECT(ADDRESS(2,COLUMN())),OFFSET($BM$2,0,0,ROW()-1,59),ROW()-1,FALSE))</f>
        <v>506.31661050000002</v>
      </c>
      <c r="AK33">
        <f ca="1">IF(AND(ISNUMBER($AK$84),$B$53=1),$AK$84,HLOOKUP(INDIRECT(ADDRESS(2,COLUMN())),OFFSET($BM$2,0,0,ROW()-1,59),ROW()-1,FALSE))</f>
        <v>564.00729790000003</v>
      </c>
      <c r="AL33">
        <f ca="1">IF(AND(ISNUMBER($AL$84),$B$53=1),$AL$84,HLOOKUP(INDIRECT(ADDRESS(2,COLUMN())),OFFSET($BM$2,0,0,ROW()-1,59),ROW()-1,FALSE))</f>
        <v>743.55247750000001</v>
      </c>
      <c r="AM33">
        <f ca="1">IF(AND(ISNUMBER($AM$84),$B$53=1),$AM$84,HLOOKUP(INDIRECT(ADDRESS(2,COLUMN())),OFFSET($BM$2,0,0,ROW()-1,59),ROW()-1,FALSE))</f>
        <v>499.3613967</v>
      </c>
      <c r="AN33">
        <f ca="1">IF(AND(ISNUMBER($AN$84),$B$53=1),$AN$84,HLOOKUP(INDIRECT(ADDRESS(2,COLUMN())),OFFSET($BM$2,0,0,ROW()-1,59),ROW()-1,FALSE))</f>
        <v>426.8589298</v>
      </c>
      <c r="AO33">
        <f ca="1">IF(AND(ISNUMBER($AO$84),$B$53=1),$AO$84,HLOOKUP(INDIRECT(ADDRESS(2,COLUMN())),OFFSET($BM$2,0,0,ROW()-1,59),ROW()-1,FALSE))</f>
        <v>508.48232369999999</v>
      </c>
      <c r="AP33">
        <f ca="1">IF(AND(ISNUMBER($AP$84),$B$53=1),$AP$84,HLOOKUP(INDIRECT(ADDRESS(2,COLUMN())),OFFSET($BM$2,0,0,ROW()-1,59),ROW()-1,FALSE))</f>
        <v>583.53589799999997</v>
      </c>
      <c r="AQ33">
        <f ca="1">IF(AND(ISNUMBER($AQ$84),$B$53=1),$AQ$84,HLOOKUP(INDIRECT(ADDRESS(2,COLUMN())),OFFSET($BM$2,0,0,ROW()-1,59),ROW()-1,FALSE))</f>
        <v>483.15774379999999</v>
      </c>
      <c r="AR33">
        <f ca="1">IF(AND(ISNUMBER($AR$84),$B$53=1),$AR$84,HLOOKUP(INDIRECT(ADDRESS(2,COLUMN())),OFFSET($BM$2,0,0,ROW()-1,59),ROW()-1,FALSE))</f>
        <v>325.6774557</v>
      </c>
      <c r="AS33">
        <f ca="1">IF(AND(ISNUMBER($AS$84),$B$53=1),$AS$84,HLOOKUP(INDIRECT(ADDRESS(2,COLUMN())),OFFSET($BM$2,0,0,ROW()-1,59),ROW()-1,FALSE))</f>
        <v>381.98110320000001</v>
      </c>
      <c r="AT33">
        <f ca="1">IF(AND(ISNUMBER($AT$84),$B$53=1),$AT$84,HLOOKUP(INDIRECT(ADDRESS(2,COLUMN())),OFFSET($BM$2,0,0,ROW()-1,59),ROW()-1,FALSE))</f>
        <v>459.95993900000002</v>
      </c>
      <c r="AU33">
        <f ca="1">IF(AND(ISNUMBER($AU$84),$B$53=1),$AU$84,HLOOKUP(INDIRECT(ADDRESS(2,COLUMN())),OFFSET($BM$2,0,0,ROW()-1,59),ROW()-1,FALSE))</f>
        <v>649.59320090000006</v>
      </c>
      <c r="AV33">
        <f ca="1">IF(AND(ISNUMBER($AV$84),$B$53=1),$AV$84,HLOOKUP(INDIRECT(ADDRESS(2,COLUMN())),OFFSET($BM$2,0,0,ROW()-1,59),ROW()-1,FALSE))</f>
        <v>788.92574520000005</v>
      </c>
      <c r="AW33" t="str">
        <f ca="1">IF(AND(ISNUMBER($AW$84),$B$53=1),$AW$84,HLOOKUP(INDIRECT(ADDRESS(2,COLUMN())),OFFSET($BM$2,0,0,ROW()-1,59),ROW()-1,FALSE))</f>
        <v/>
      </c>
      <c r="AX33" t="str">
        <f ca="1">IF(AND(ISNUMBER($AX$84),$B$53=1),$AX$84,HLOOKUP(INDIRECT(ADDRESS(2,COLUMN())),OFFSET($BM$2,0,0,ROW()-1,59),ROW()-1,FALSE))</f>
        <v/>
      </c>
      <c r="AY33" t="str">
        <f ca="1">IF(AND(ISNUMBER($AY$84),$B$53=1),$AY$84,HLOOKUP(INDIRECT(ADDRESS(2,COLUMN())),OFFSET($BM$2,0,0,ROW()-1,59),ROW()-1,FALSE))</f>
        <v/>
      </c>
      <c r="AZ33" t="str">
        <f ca="1">IF(AND(ISNUMBER($AZ$84),$B$53=1),$AZ$84,HLOOKUP(INDIRECT(ADDRESS(2,COLUMN())),OFFSET($BM$2,0,0,ROW()-1,59),ROW()-1,FALSE))</f>
        <v/>
      </c>
      <c r="BA33" t="str">
        <f ca="1">IF(AND(ISNUMBER($BA$84),$B$53=1),$BA$84,HLOOKUP(INDIRECT(ADDRESS(2,COLUMN())),OFFSET($BM$2,0,0,ROW()-1,59),ROW()-1,FALSE))</f>
        <v/>
      </c>
      <c r="BB33" t="str">
        <f ca="1">IF(AND(ISNUMBER($BB$84),$B$53=1),$BB$84,HLOOKUP(INDIRECT(ADDRESS(2,COLUMN())),OFFSET($BM$2,0,0,ROW()-1,59),ROW()-1,FALSE))</f>
        <v/>
      </c>
      <c r="BC33" t="str">
        <f ca="1">IF(AND(ISNUMBER($BC$84),$B$53=1),$BC$84,HLOOKUP(INDIRECT(ADDRESS(2,COLUMN())),OFFSET($BM$2,0,0,ROW()-1,59),ROW()-1,FALSE))</f>
        <v/>
      </c>
      <c r="BD33" t="str">
        <f ca="1">IF(AND(ISNUMBER($BD$84),$B$53=1),$BD$84,HLOOKUP(INDIRECT(ADDRESS(2,COLUMN())),OFFSET($BM$2,0,0,ROW()-1,59),ROW()-1,FALSE))</f>
        <v/>
      </c>
      <c r="BE33" t="str">
        <f ca="1">IF(AND(ISNUMBER($BE$84),$B$53=1),$BE$84,HLOOKUP(INDIRECT(ADDRESS(2,COLUMN())),OFFSET($BM$2,0,0,ROW()-1,59),ROW()-1,FALSE))</f>
        <v/>
      </c>
      <c r="BF33" t="str">
        <f ca="1">IF(AND(ISNUMBER($BF$84),$B$53=1),$BF$84,HLOOKUP(INDIRECT(ADDRESS(2,COLUMN())),OFFSET($BM$2,0,0,ROW()-1,59),ROW()-1,FALSE))</f>
        <v/>
      </c>
      <c r="BG33" t="str">
        <f ca="1">IF(AND(ISNUMBER($BG$84),$B$53=1),$BG$84,HLOOKUP(INDIRECT(ADDRESS(2,COLUMN())),OFFSET($BM$2,0,0,ROW()-1,59),ROW()-1,FALSE))</f>
        <v/>
      </c>
      <c r="BH33" t="str">
        <f ca="1">IF(AND(ISNUMBER($BH$84),$B$53=1),$BH$84,HLOOKUP(INDIRECT(ADDRESS(2,COLUMN())),OFFSET($BM$2,0,0,ROW()-1,59),ROW()-1,FALSE))</f>
        <v/>
      </c>
      <c r="BI33" t="str">
        <f ca="1">IF(AND(ISNUMBER($BI$84),$B$53=1),$BI$84,HLOOKUP(INDIRECT(ADDRESS(2,COLUMN())),OFFSET($BM$2,0,0,ROW()-1,59),ROW()-1,FALSE))</f>
        <v/>
      </c>
      <c r="BJ33" t="str">
        <f ca="1">IF(AND(ISNUMBER($BJ$84),$B$53=1),$BJ$84,HLOOKUP(INDIRECT(ADDRESS(2,COLUMN())),OFFSET($BM$2,0,0,ROW()-1,59),ROW()-1,FALSE))</f>
        <v/>
      </c>
      <c r="BK33" t="str">
        <f ca="1">IF(AND(ISNUMBER($BK$84),$B$53=1),$BK$84,HLOOKUP(INDIRECT(ADDRESS(2,COLUMN())),OFFSET($BM$2,0,0,ROW()-1,59),ROW()-1,FALSE))</f>
        <v/>
      </c>
      <c r="BL33" t="str">
        <f ca="1">IF(AND(ISNUMBER($BL$84),$B$53=1),$BL$84,HLOOKUP(INDIRECT(ADDRESS(2,COLUMN())),OFFSET($BM$2,0,0,ROW()-1,59),ROW()-1,FALSE))</f>
        <v/>
      </c>
      <c r="BM33">
        <f>690.9300104</f>
        <v>690.93001040000001</v>
      </c>
      <c r="BN33">
        <f>823.7984477</f>
        <v>823.7984477</v>
      </c>
      <c r="BO33">
        <f>864.6873743</f>
        <v>864.68737429999999</v>
      </c>
      <c r="BP33">
        <f>1057.050237</f>
        <v>1057.0502369999999</v>
      </c>
      <c r="BQ33">
        <f>802.6439459</f>
        <v>802.64394589999995</v>
      </c>
      <c r="BR33">
        <f>699.7219462</f>
        <v>699.72194620000005</v>
      </c>
      <c r="BS33">
        <f>628.0947881</f>
        <v>628.09478809999996</v>
      </c>
      <c r="BT33">
        <f>804.9012513</f>
        <v>804.90125130000001</v>
      </c>
      <c r="BU33">
        <f>551.1771835</f>
        <v>551.17718349999996</v>
      </c>
      <c r="BV33">
        <f>694.7852015</f>
        <v>694.78520149999997</v>
      </c>
      <c r="BW33">
        <f>689.3460876</f>
        <v>689.34608760000003</v>
      </c>
      <c r="BX33">
        <f>612.1175463</f>
        <v>612.11754629999996</v>
      </c>
      <c r="BY33">
        <f>617.9053638</f>
        <v>617.90536380000003</v>
      </c>
      <c r="BZ33">
        <f>788.4005663</f>
        <v>788.40056630000004</v>
      </c>
      <c r="CA33">
        <f>684.6674161</f>
        <v>684.66741609999997</v>
      </c>
      <c r="CB33">
        <f>663.3960412</f>
        <v>663.39604120000001</v>
      </c>
      <c r="CC33">
        <f>697.7396485</f>
        <v>697.73964850000004</v>
      </c>
      <c r="CD33">
        <f>665.9624098</f>
        <v>665.96240980000005</v>
      </c>
      <c r="CE33">
        <f>468.3103949</f>
        <v>468.31039490000001</v>
      </c>
      <c r="CF33">
        <f>515.6989008</f>
        <v>515.69890080000005</v>
      </c>
      <c r="CG33">
        <f>681.3100655</f>
        <v>681.31006549999995</v>
      </c>
      <c r="CH33">
        <f>643.9705604</f>
        <v>643.97056039999995</v>
      </c>
      <c r="CI33">
        <f>448.8242941</f>
        <v>448.82429409999997</v>
      </c>
      <c r="CJ33">
        <f>491.3810582</f>
        <v>491.38105819999998</v>
      </c>
      <c r="CK33">
        <f>401.5325282</f>
        <v>401.5325282</v>
      </c>
      <c r="CL33">
        <f>467.3755284</f>
        <v>467.37552840000001</v>
      </c>
      <c r="CM33">
        <f>537.5927124</f>
        <v>537.59271239999998</v>
      </c>
      <c r="CN33">
        <f>673.3970349</f>
        <v>673.39703489999999</v>
      </c>
      <c r="CO33">
        <f>578.1350872</f>
        <v>578.13508720000004</v>
      </c>
      <c r="CP33">
        <f>718.6655042</f>
        <v>718.66550419999999</v>
      </c>
      <c r="CQ33">
        <f>506.3166105</f>
        <v>506.31661050000002</v>
      </c>
      <c r="CR33">
        <f>564.0072979</f>
        <v>564.00729790000003</v>
      </c>
      <c r="CS33">
        <f>743.5524775</f>
        <v>743.55247750000001</v>
      </c>
      <c r="CT33">
        <f>499.3613967</f>
        <v>499.3613967</v>
      </c>
      <c r="CU33">
        <f>426.8589298</f>
        <v>426.8589298</v>
      </c>
      <c r="CV33">
        <f>508.4823237</f>
        <v>508.48232369999999</v>
      </c>
      <c r="CW33">
        <f>583.535898</f>
        <v>583.53589799999997</v>
      </c>
      <c r="CX33">
        <f>483.1577438</f>
        <v>483.15774379999999</v>
      </c>
      <c r="CY33">
        <f>325.6774557</f>
        <v>325.6774557</v>
      </c>
      <c r="CZ33">
        <f>381.9811032</f>
        <v>381.98110320000001</v>
      </c>
      <c r="DA33">
        <f>459.959939</f>
        <v>459.95993900000002</v>
      </c>
      <c r="DB33">
        <f>649.5932009</f>
        <v>649.59320090000006</v>
      </c>
      <c r="DC33">
        <f>788.9257452</f>
        <v>788.92574520000005</v>
      </c>
      <c r="DD33" t="str">
        <f>""</f>
        <v/>
      </c>
      <c r="DE33" t="str">
        <f>""</f>
        <v/>
      </c>
      <c r="DF33" t="str">
        <f>""</f>
        <v/>
      </c>
      <c r="DG33" t="str">
        <f>""</f>
        <v/>
      </c>
      <c r="DH33" t="str">
        <f>""</f>
        <v/>
      </c>
      <c r="DI33" t="str">
        <f>""</f>
        <v/>
      </c>
      <c r="DJ33" t="str">
        <f>""</f>
        <v/>
      </c>
      <c r="DK33" t="str">
        <f>""</f>
        <v/>
      </c>
      <c r="DL33" t="str">
        <f>""</f>
        <v/>
      </c>
      <c r="DM33" t="str">
        <f>""</f>
        <v/>
      </c>
      <c r="DN33" t="str">
        <f>""</f>
        <v/>
      </c>
      <c r="DO33" t="str">
        <f>""</f>
        <v/>
      </c>
      <c r="DP33" t="str">
        <f>""</f>
        <v/>
      </c>
      <c r="DQ33" t="str">
        <f>""</f>
        <v/>
      </c>
      <c r="DR33" t="str">
        <f>""</f>
        <v/>
      </c>
      <c r="DS33" t="str">
        <f>""</f>
        <v/>
      </c>
    </row>
    <row r="34" spans="1:123" x14ac:dyDescent="0.25">
      <c r="A34" t="str">
        <f>"By Geography ($M) - Isuzu"</f>
        <v>By Geography ($M) - Isuzu</v>
      </c>
      <c r="B34" t="str">
        <f>"7202 JP Equity"</f>
        <v>7202 JP Equity</v>
      </c>
      <c r="C34" t="str">
        <f>"IS010"</f>
        <v>IS010</v>
      </c>
      <c r="D34" t="str">
        <f>"SALES_REV_TURN"</f>
        <v>SALES_REV_TURN</v>
      </c>
      <c r="E34" t="str">
        <f t="shared" si="1"/>
        <v>Dynamic</v>
      </c>
      <c r="F34">
        <f ca="1">IF(AND(ISNUMBER($F$85),$B$53=1),$F$85,HLOOKUP(INDIRECT(ADDRESS(2,COLUMN())),OFFSET($BM$2,0,0,ROW()-1,59),ROW()-1,FALSE))</f>
        <v>4908.3193179999998</v>
      </c>
      <c r="G34">
        <f ca="1">IF(AND(ISNUMBER($G$85),$B$53=1),$G$85,HLOOKUP(INDIRECT(ADDRESS(2,COLUMN())),OFFSET($BM$2,0,0,ROW()-1,59),ROW()-1,FALSE))</f>
        <v>4905.6033770000004</v>
      </c>
      <c r="H34">
        <f ca="1">IF(AND(ISNUMBER($H$85),$B$53=1),$H$85,HLOOKUP(INDIRECT(ADDRESS(2,COLUMN())),OFFSET($BM$2,0,0,ROW()-1,59),ROW()-1,FALSE))</f>
        <v>4473.9750949999998</v>
      </c>
      <c r="I34">
        <f ca="1">IF(AND(ISNUMBER($I$85),$B$53=1),$I$85,HLOOKUP(INDIRECT(ADDRESS(2,COLUMN())),OFFSET($BM$2,0,0,ROW()-1,59),ROW()-1,FALSE))</f>
        <v>5268.9012389999998</v>
      </c>
      <c r="J34">
        <f ca="1">IF(AND(ISNUMBER($J$85),$B$53=1),$J$85,HLOOKUP(INDIRECT(ADDRESS(2,COLUMN())),OFFSET($BM$2,0,0,ROW()-1,59),ROW()-1,FALSE))</f>
        <v>4561.9821910000001</v>
      </c>
      <c r="K34">
        <f ca="1">IF(AND(ISNUMBER($K$85),$B$53=1),$K$85,HLOOKUP(INDIRECT(ADDRESS(2,COLUMN())),OFFSET($BM$2,0,0,ROW()-1,59),ROW()-1,FALSE))</f>
        <v>4693.4310539999997</v>
      </c>
      <c r="L34">
        <f ca="1">IF(AND(ISNUMBER($L$85),$B$53=1),$L$85,HLOOKUP(INDIRECT(ADDRESS(2,COLUMN())),OFFSET($BM$2,0,0,ROW()-1,59),ROW()-1,FALSE))</f>
        <v>4175.1550559999996</v>
      </c>
      <c r="M34">
        <f ca="1">IF(AND(ISNUMBER($M$85),$B$53=1),$M$85,HLOOKUP(INDIRECT(ADDRESS(2,COLUMN())),OFFSET($BM$2,0,0,ROW()-1,59),ROW()-1,FALSE))</f>
        <v>5006.805042</v>
      </c>
      <c r="N34">
        <f ca="1">IF(AND(ISNUMBER($N$85),$B$53=1),$N$85,HLOOKUP(INDIRECT(ADDRESS(2,COLUMN())),OFFSET($BM$2,0,0,ROW()-1,59),ROW()-1,FALSE))</f>
        <v>4359.0351559999999</v>
      </c>
      <c r="O34">
        <f ca="1">IF(AND(ISNUMBER($O$85),$B$53=1),$O$85,HLOOKUP(INDIRECT(ADDRESS(2,COLUMN())),OFFSET($BM$2,0,0,ROW()-1,59),ROW()-1,FALSE))</f>
        <v>4647.2396070000004</v>
      </c>
      <c r="P34">
        <f ca="1">IF(AND(ISNUMBER($P$85),$B$53=1),$P$85,HLOOKUP(INDIRECT(ADDRESS(2,COLUMN())),OFFSET($BM$2,0,0,ROW()-1,59),ROW()-1,FALSE))</f>
        <v>4008.614141</v>
      </c>
      <c r="Q34">
        <f ca="1">IF(AND(ISNUMBER($Q$85),$B$53=1),$Q$85,HLOOKUP(INDIRECT(ADDRESS(2,COLUMN())),OFFSET($BM$2,0,0,ROW()-1,59),ROW()-1,FALSE))</f>
        <v>4433.8840749999999</v>
      </c>
      <c r="R34">
        <f ca="1">IF(AND(ISNUMBER($R$85),$B$53=1),$R$85,HLOOKUP(INDIRECT(ADDRESS(2,COLUMN())),OFFSET($BM$2,0,0,ROW()-1,59),ROW()-1,FALSE))</f>
        <v>3668.6349679999998</v>
      </c>
      <c r="S34">
        <f ca="1">IF(AND(ISNUMBER($S$85),$B$53=1),$S$85,HLOOKUP(INDIRECT(ADDRESS(2,COLUMN())),OFFSET($BM$2,0,0,ROW()-1,59),ROW()-1,FALSE))</f>
        <v>4076.6481480000002</v>
      </c>
      <c r="T34">
        <f ca="1">IF(AND(ISNUMBER($T$85),$B$53=1),$T$85,HLOOKUP(INDIRECT(ADDRESS(2,COLUMN())),OFFSET($BM$2,0,0,ROW()-1,59),ROW()-1,FALSE))</f>
        <v>3899.1039129999999</v>
      </c>
      <c r="U34">
        <f ca="1">IF(AND(ISNUMBER($U$85),$B$53=1),$U$85,HLOOKUP(INDIRECT(ADDRESS(2,COLUMN())),OFFSET($BM$2,0,0,ROW()-1,59),ROW()-1,FALSE))</f>
        <v>4450.2384190000002</v>
      </c>
      <c r="V34">
        <f ca="1">IF(AND(ISNUMBER($V$85),$B$53=1),$V$85,HLOOKUP(INDIRECT(ADDRESS(2,COLUMN())),OFFSET($BM$2,0,0,ROW()-1,59),ROW()-1,FALSE))</f>
        <v>4086.404599</v>
      </c>
      <c r="W34">
        <f ca="1">IF(AND(ISNUMBER($W$85),$B$53=1),$W$85,HLOOKUP(INDIRECT(ADDRESS(2,COLUMN())),OFFSET($BM$2,0,0,ROW()-1,59),ROW()-1,FALSE))</f>
        <v>4590.6885620000003</v>
      </c>
      <c r="X34">
        <f ca="1">IF(AND(ISNUMBER($X$85),$B$53=1),$X$85,HLOOKUP(INDIRECT(ADDRESS(2,COLUMN())),OFFSET($BM$2,0,0,ROW()-1,59),ROW()-1,FALSE))</f>
        <v>3965.8258449999998</v>
      </c>
      <c r="Y34">
        <f ca="1">IF(AND(ISNUMBER($Y$85),$B$53=1),$Y$85,HLOOKUP(INDIRECT(ADDRESS(2,COLUMN())),OFFSET($BM$2,0,0,ROW()-1,59),ROW()-1,FALSE))</f>
        <v>4559.1927100000003</v>
      </c>
      <c r="Z34">
        <f ca="1">IF(AND(ISNUMBER($Z$85),$B$53=1),$Z$85,HLOOKUP(INDIRECT(ADDRESS(2,COLUMN())),OFFSET($BM$2,0,0,ROW()-1,59),ROW()-1,FALSE))</f>
        <v>4153.8177260000002</v>
      </c>
      <c r="AA34">
        <f ca="1">IF(AND(ISNUMBER($AA$85),$B$53=1),$AA$85,HLOOKUP(INDIRECT(ADDRESS(2,COLUMN())),OFFSET($BM$2,0,0,ROW()-1,59),ROW()-1,FALSE))</f>
        <v>4577.9309320000002</v>
      </c>
      <c r="AB34">
        <f ca="1">IF(AND(ISNUMBER($AB$85),$B$53=1),$AB$85,HLOOKUP(INDIRECT(ADDRESS(2,COLUMN())),OFFSET($BM$2,0,0,ROW()-1,59),ROW()-1,FALSE))</f>
        <v>4281.4784540000001</v>
      </c>
      <c r="AC34">
        <f ca="1">IF(AND(ISNUMBER($AC$85),$B$53=1),$AC$85,HLOOKUP(INDIRECT(ADDRESS(2,COLUMN())),OFFSET($BM$2,0,0,ROW()-1,59),ROW()-1,FALSE))</f>
        <v>5100.3556019999996</v>
      </c>
      <c r="AD34">
        <f ca="1">IF(AND(ISNUMBER($AD$85),$B$53=1),$AD$85,HLOOKUP(INDIRECT(ADDRESS(2,COLUMN())),OFFSET($BM$2,0,0,ROW()-1,59),ROW()-1,FALSE))</f>
        <v>4999.1138639999999</v>
      </c>
      <c r="AE34">
        <f ca="1">IF(AND(ISNUMBER($AE$85),$B$53=1),$AE$85,HLOOKUP(INDIRECT(ADDRESS(2,COLUMN())),OFFSET($BM$2,0,0,ROW()-1,59),ROW()-1,FALSE))</f>
        <v>4939.3517609999999</v>
      </c>
      <c r="AF34">
        <f ca="1">IF(AND(ISNUMBER($AF$85),$B$53=1),$AF$85,HLOOKUP(INDIRECT(ADDRESS(2,COLUMN())),OFFSET($BM$2,0,0,ROW()-1,59),ROW()-1,FALSE))</f>
        <v>4892.5033540000004</v>
      </c>
      <c r="AG34">
        <f ca="1">IF(AND(ISNUMBER($AG$85),$B$53=1),$AG$85,HLOOKUP(INDIRECT(ADDRESS(2,COLUMN())),OFFSET($BM$2,0,0,ROW()-1,59),ROW()-1,FALSE))</f>
        <v>5495.7056679999996</v>
      </c>
      <c r="AH34">
        <f ca="1">IF(AND(ISNUMBER($AH$85),$B$53=1),$AH$85,HLOOKUP(INDIRECT(ADDRESS(2,COLUMN())),OFFSET($BM$2,0,0,ROW()-1,59),ROW()-1,FALSE))</f>
        <v>3961.545462</v>
      </c>
      <c r="AI34">
        <f ca="1">IF(AND(ISNUMBER($AI$85),$B$53=1),$AI$85,HLOOKUP(INDIRECT(ADDRESS(2,COLUMN())),OFFSET($BM$2,0,0,ROW()-1,59),ROW()-1,FALSE))</f>
        <v>4813.1374919999998</v>
      </c>
      <c r="AJ34">
        <f ca="1">IF(AND(ISNUMBER($AJ$85),$B$53=1),$AJ$85,HLOOKUP(INDIRECT(ADDRESS(2,COLUMN())),OFFSET($BM$2,0,0,ROW()-1,59),ROW()-1,FALSE))</f>
        <v>3488.4536130000001</v>
      </c>
      <c r="AK34">
        <f ca="1">IF(AND(ISNUMBER($AK$85),$B$53=1),$AK$85,HLOOKUP(INDIRECT(ADDRESS(2,COLUMN())),OFFSET($BM$2,0,0,ROW()-1,59),ROW()-1,FALSE))</f>
        <v>4198.0277980000001</v>
      </c>
      <c r="AL34">
        <f ca="1">IF(AND(ISNUMBER($AL$85),$B$53=1),$AL$85,HLOOKUP(INDIRECT(ADDRESS(2,COLUMN())),OFFSET($BM$2,0,0,ROW()-1,59),ROW()-1,FALSE))</f>
        <v>4185.8146660000002</v>
      </c>
      <c r="AM34">
        <f ca="1">IF(AND(ISNUMBER($AM$85),$B$53=1),$AM$85,HLOOKUP(INDIRECT(ADDRESS(2,COLUMN())),OFFSET($BM$2,0,0,ROW()-1,59),ROW()-1,FALSE))</f>
        <v>4182.1269110000003</v>
      </c>
      <c r="AN34">
        <f ca="1">IF(AND(ISNUMBER($AN$85),$B$53=1),$AN$85,HLOOKUP(INDIRECT(ADDRESS(2,COLUMN())),OFFSET($BM$2,0,0,ROW()-1,59),ROW()-1,FALSE))</f>
        <v>3980.0222309999999</v>
      </c>
      <c r="AO34">
        <f ca="1">IF(AND(ISNUMBER($AO$85),$B$53=1),$AO$85,HLOOKUP(INDIRECT(ADDRESS(2,COLUMN())),OFFSET($BM$2,0,0,ROW()-1,59),ROW()-1,FALSE))</f>
        <v>3893.7946889999998</v>
      </c>
      <c r="AP34">
        <f ca="1">IF(AND(ISNUMBER($AP$85),$B$53=1),$AP$85,HLOOKUP(INDIRECT(ADDRESS(2,COLUMN())),OFFSET($BM$2,0,0,ROW()-1,59),ROW()-1,FALSE))</f>
        <v>3173.3264389999999</v>
      </c>
      <c r="AQ34">
        <f ca="1">IF(AND(ISNUMBER($AQ$85),$B$53=1),$AQ$85,HLOOKUP(INDIRECT(ADDRESS(2,COLUMN())),OFFSET($BM$2,0,0,ROW()-1,59),ROW()-1,FALSE))</f>
        <v>2732.129782</v>
      </c>
      <c r="AR34">
        <f ca="1">IF(AND(ISNUMBER($AR$85),$B$53=1),$AR$85,HLOOKUP(INDIRECT(ADDRESS(2,COLUMN())),OFFSET($BM$2,0,0,ROW()-1,59),ROW()-1,FALSE))</f>
        <v>1925.3741259999999</v>
      </c>
      <c r="AS34">
        <f ca="1">IF(AND(ISNUMBER($AS$85),$B$53=1),$AS$85,HLOOKUP(INDIRECT(ADDRESS(2,COLUMN())),OFFSET($BM$2,0,0,ROW()-1,59),ROW()-1,FALSE))</f>
        <v>2401.0790569999999</v>
      </c>
      <c r="AT34">
        <f ca="1">IF(AND(ISNUMBER($AT$85),$B$53=1),$AT$85,HLOOKUP(INDIRECT(ADDRESS(2,COLUMN())),OFFSET($BM$2,0,0,ROW()-1,59),ROW()-1,FALSE))</f>
        <v>3551.4729170000001</v>
      </c>
      <c r="AU34">
        <f ca="1">IF(AND(ISNUMBER($AU$85),$B$53=1),$AU$85,HLOOKUP(INDIRECT(ADDRESS(2,COLUMN())),OFFSET($BM$2,0,0,ROW()-1,59),ROW()-1,FALSE))</f>
        <v>4132.3542799999996</v>
      </c>
      <c r="AV34">
        <f ca="1">IF(AND(ISNUMBER($AV$85),$B$53=1),$AV$85,HLOOKUP(INDIRECT(ADDRESS(2,COLUMN())),OFFSET($BM$2,0,0,ROW()-1,59),ROW()-1,FALSE))</f>
        <v>3969.9672129999999</v>
      </c>
      <c r="AW34" t="str">
        <f ca="1">IF(AND(ISNUMBER($AW$85),$B$53=1),$AW$85,HLOOKUP(INDIRECT(ADDRESS(2,COLUMN())),OFFSET($BM$2,0,0,ROW()-1,59),ROW()-1,FALSE))</f>
        <v/>
      </c>
      <c r="AX34">
        <f ca="1">IF(AND(ISNUMBER($AX$85),$B$53=1),$AX$85,HLOOKUP(INDIRECT(ADDRESS(2,COLUMN())),OFFSET($BM$2,0,0,ROW()-1,59),ROW()-1,FALSE))</f>
        <v>3801.2551279999998</v>
      </c>
      <c r="AY34">
        <f ca="1">IF(AND(ISNUMBER($AY$85),$B$53=1),$AY$85,HLOOKUP(INDIRECT(ADDRESS(2,COLUMN())),OFFSET($BM$2,0,0,ROW()-1,59),ROW()-1,FALSE))</f>
        <v>4012.5181870000001</v>
      </c>
      <c r="AZ34">
        <f ca="1">IF(AND(ISNUMBER($AZ$85),$B$53=1),$AZ$85,HLOOKUP(INDIRECT(ADDRESS(2,COLUMN())),OFFSET($BM$2,0,0,ROW()-1,59),ROW()-1,FALSE))</f>
        <v>3329.237928</v>
      </c>
      <c r="BA34" t="str">
        <f ca="1">IF(AND(ISNUMBER($BA$85),$B$53=1),$BA$85,HLOOKUP(INDIRECT(ADDRESS(2,COLUMN())),OFFSET($BM$2,0,0,ROW()-1,59),ROW()-1,FALSE))</f>
        <v/>
      </c>
      <c r="BB34">
        <f ca="1">IF(AND(ISNUMBER($BB$85),$B$53=1),$BB$85,HLOOKUP(INDIRECT(ADDRESS(2,COLUMN())),OFFSET($BM$2,0,0,ROW()-1,59),ROW()-1,FALSE))</f>
        <v>3408.8027929999998</v>
      </c>
      <c r="BC34">
        <f ca="1">IF(AND(ISNUMBER($BC$85),$B$53=1),$BC$85,HLOOKUP(INDIRECT(ADDRESS(2,COLUMN())),OFFSET($BM$2,0,0,ROW()-1,59),ROW()-1,FALSE))</f>
        <v>3688.0546159999999</v>
      </c>
      <c r="BD34">
        <f ca="1">IF(AND(ISNUMBER($BD$85),$B$53=1),$BD$85,HLOOKUP(INDIRECT(ADDRESS(2,COLUMN())),OFFSET($BM$2,0,0,ROW()-1,59),ROW()-1,FALSE))</f>
        <v>3463.8343679999998</v>
      </c>
      <c r="BE34">
        <f ca="1">IF(AND(ISNUMBER($BE$85),$B$53=1),$BE$85,HLOOKUP(INDIRECT(ADDRESS(2,COLUMN())),OFFSET($BM$2,0,0,ROW()-1,59),ROW()-1,FALSE))</f>
        <v>3834.555687</v>
      </c>
      <c r="BF34">
        <f ca="1">IF(AND(ISNUMBER($BF$85),$B$53=1),$BF$85,HLOOKUP(INDIRECT(ADDRESS(2,COLUMN())),OFFSET($BM$2,0,0,ROW()-1,59),ROW()-1,FALSE))</f>
        <v>3380.7008409999999</v>
      </c>
      <c r="BG34">
        <f ca="1">IF(AND(ISNUMBER($BG$85),$B$53=1),$BG$85,HLOOKUP(INDIRECT(ADDRESS(2,COLUMN())),OFFSET($BM$2,0,0,ROW()-1,59),ROW()-1,FALSE))</f>
        <v>3434.9425729999998</v>
      </c>
      <c r="BH34">
        <f ca="1">IF(AND(ISNUMBER($BH$85),$B$53=1),$BH$85,HLOOKUP(INDIRECT(ADDRESS(2,COLUMN())),OFFSET($BM$2,0,0,ROW()-1,59),ROW()-1,FALSE))</f>
        <v>3304.0785540000002</v>
      </c>
      <c r="BI34">
        <f ca="1">IF(AND(ISNUMBER($BI$85),$B$53=1),$BI$85,HLOOKUP(INDIRECT(ADDRESS(2,COLUMN())),OFFSET($BM$2,0,0,ROW()-1,59),ROW()-1,FALSE))</f>
        <v>3936.768286</v>
      </c>
      <c r="BJ34">
        <f ca="1">IF(AND(ISNUMBER($BJ$85),$B$53=1),$BJ$85,HLOOKUP(INDIRECT(ADDRESS(2,COLUMN())),OFFSET($BM$2,0,0,ROW()-1,59),ROW()-1,FALSE))</f>
        <v>3283.898052</v>
      </c>
      <c r="BK34">
        <f ca="1">IF(AND(ISNUMBER($BK$85),$B$53=1),$BK$85,HLOOKUP(INDIRECT(ADDRESS(2,COLUMN())),OFFSET($BM$2,0,0,ROW()-1,59),ROW()-1,FALSE))</f>
        <v>3756.0278280000002</v>
      </c>
      <c r="BL34">
        <f ca="1">IF(AND(ISNUMBER($BL$85),$B$53=1),$BL$85,HLOOKUP(INDIRECT(ADDRESS(2,COLUMN())),OFFSET($BM$2,0,0,ROW()-1,59),ROW()-1,FALSE))</f>
        <v>2940.1953410000001</v>
      </c>
      <c r="BM34">
        <f>4908.319318</f>
        <v>4908.3193179999998</v>
      </c>
      <c r="BN34">
        <f>4905.603377</f>
        <v>4905.6033770000004</v>
      </c>
      <c r="BO34">
        <f>4473.975095</f>
        <v>4473.9750949999998</v>
      </c>
      <c r="BP34">
        <f>5268.901239</f>
        <v>5268.9012389999998</v>
      </c>
      <c r="BQ34">
        <f>4561.982191</f>
        <v>4561.9821910000001</v>
      </c>
      <c r="BR34">
        <f>4693.431054</f>
        <v>4693.4310539999997</v>
      </c>
      <c r="BS34">
        <f>4175.155056</f>
        <v>4175.1550559999996</v>
      </c>
      <c r="BT34">
        <f>5006.805042</f>
        <v>5006.805042</v>
      </c>
      <c r="BU34">
        <f>4359.035156</f>
        <v>4359.0351559999999</v>
      </c>
      <c r="BV34">
        <f>4647.239607</f>
        <v>4647.2396070000004</v>
      </c>
      <c r="BW34">
        <f>4008.614141</f>
        <v>4008.614141</v>
      </c>
      <c r="BX34">
        <f>4433.884075</f>
        <v>4433.8840749999999</v>
      </c>
      <c r="BY34">
        <f>3668.634968</f>
        <v>3668.6349679999998</v>
      </c>
      <c r="BZ34">
        <f>4076.648148</f>
        <v>4076.6481480000002</v>
      </c>
      <c r="CA34">
        <f>3899.103913</f>
        <v>3899.1039129999999</v>
      </c>
      <c r="CB34">
        <f>4450.238419</f>
        <v>4450.2384190000002</v>
      </c>
      <c r="CC34">
        <f>4086.404599</f>
        <v>4086.404599</v>
      </c>
      <c r="CD34">
        <f>4590.688562</f>
        <v>4590.6885620000003</v>
      </c>
      <c r="CE34">
        <f>3965.825845</f>
        <v>3965.8258449999998</v>
      </c>
      <c r="CF34">
        <f>4559.19271</f>
        <v>4559.1927100000003</v>
      </c>
      <c r="CG34">
        <f>4153.817726</f>
        <v>4153.8177260000002</v>
      </c>
      <c r="CH34">
        <f>4577.930932</f>
        <v>4577.9309320000002</v>
      </c>
      <c r="CI34">
        <f>4281.478454</f>
        <v>4281.4784540000001</v>
      </c>
      <c r="CJ34">
        <f>5100.355602</f>
        <v>5100.3556019999996</v>
      </c>
      <c r="CK34">
        <f>4999.113864</f>
        <v>4999.1138639999999</v>
      </c>
      <c r="CL34">
        <f>4939.351761</f>
        <v>4939.3517609999999</v>
      </c>
      <c r="CM34">
        <f>4892.503354</f>
        <v>4892.5033540000004</v>
      </c>
      <c r="CN34">
        <f>5495.705668</f>
        <v>5495.7056679999996</v>
      </c>
      <c r="CO34">
        <f>3961.545462</f>
        <v>3961.545462</v>
      </c>
      <c r="CP34">
        <f>4813.137492</f>
        <v>4813.1374919999998</v>
      </c>
      <c r="CQ34">
        <f>3488.453613</f>
        <v>3488.4536130000001</v>
      </c>
      <c r="CR34">
        <f>4198.027798</f>
        <v>4198.0277980000001</v>
      </c>
      <c r="CS34">
        <f>4185.814666</f>
        <v>4185.8146660000002</v>
      </c>
      <c r="CT34">
        <f>4182.126911</f>
        <v>4182.1269110000003</v>
      </c>
      <c r="CU34">
        <f>3980.022231</f>
        <v>3980.0222309999999</v>
      </c>
      <c r="CV34">
        <f>3893.794689</f>
        <v>3893.7946889999998</v>
      </c>
      <c r="CW34">
        <f>3173.326439</f>
        <v>3173.3264389999999</v>
      </c>
      <c r="CX34">
        <f>2732.129782</f>
        <v>2732.129782</v>
      </c>
      <c r="CY34">
        <f>1925.374126</f>
        <v>1925.3741259999999</v>
      </c>
      <c r="CZ34">
        <f>2401.079057</f>
        <v>2401.0790569999999</v>
      </c>
      <c r="DA34">
        <f>3551.472917</f>
        <v>3551.4729170000001</v>
      </c>
      <c r="DB34">
        <f>4132.35428</f>
        <v>4132.3542799999996</v>
      </c>
      <c r="DC34">
        <f>3969.967213</f>
        <v>3969.9672129999999</v>
      </c>
      <c r="DD34" t="str">
        <f>""</f>
        <v/>
      </c>
      <c r="DE34">
        <f>3801.255128</f>
        <v>3801.2551279999998</v>
      </c>
      <c r="DF34">
        <f>4012.518187</f>
        <v>4012.5181870000001</v>
      </c>
      <c r="DG34">
        <f>3329.237928</f>
        <v>3329.237928</v>
      </c>
      <c r="DH34" t="str">
        <f>""</f>
        <v/>
      </c>
      <c r="DI34">
        <f>3408.802793</f>
        <v>3408.8027929999998</v>
      </c>
      <c r="DJ34">
        <f>3688.054616</f>
        <v>3688.0546159999999</v>
      </c>
      <c r="DK34">
        <f>3463.834368</f>
        <v>3463.8343679999998</v>
      </c>
      <c r="DL34">
        <f>3834.555687</f>
        <v>3834.555687</v>
      </c>
      <c r="DM34">
        <f>3380.700841</f>
        <v>3380.7008409999999</v>
      </c>
      <c r="DN34">
        <f>3434.942573</f>
        <v>3434.9425729999998</v>
      </c>
      <c r="DO34">
        <f>3304.078554</f>
        <v>3304.0785540000002</v>
      </c>
      <c r="DP34">
        <f>3936.768286</f>
        <v>3936.768286</v>
      </c>
      <c r="DQ34">
        <f>3283.898052</f>
        <v>3283.898052</v>
      </c>
      <c r="DR34">
        <f>3756.027828</f>
        <v>3756.0278280000002</v>
      </c>
      <c r="DS34">
        <f>2940.195341</f>
        <v>2940.1953410000001</v>
      </c>
    </row>
    <row r="35" spans="1:123" x14ac:dyDescent="0.25">
      <c r="A35" t="str">
        <f>"        North America - U.S."</f>
        <v xml:space="preserve">        North America - U.S.</v>
      </c>
      <c r="B35" t="str">
        <f>"7202 JP Equity"</f>
        <v>7202 JP Equity</v>
      </c>
      <c r="C35" t="str">
        <f>"BI047"</f>
        <v>BI047</v>
      </c>
      <c r="D35" t="str">
        <f>"BICS_SEGMENT_DATA"</f>
        <v>BICS_SEGMENT_DATA</v>
      </c>
      <c r="E35" t="str">
        <f t="shared" si="1"/>
        <v>Dynamic</v>
      </c>
      <c r="F35">
        <f ca="1">IF(AND(ISNUMBER($F$86),$B$53=1),$F$86,HLOOKUP(INDIRECT(ADDRESS(2,COLUMN())),OFFSET($BM$2,0,0,ROW()-1,59),ROW()-1,FALSE))</f>
        <v>388.4618438</v>
      </c>
      <c r="G35">
        <f ca="1">IF(AND(ISNUMBER($G$86),$B$53=1),$G$86,HLOOKUP(INDIRECT(ADDRESS(2,COLUMN())),OFFSET($BM$2,0,0,ROW()-1,59),ROW()-1,FALSE))</f>
        <v>412.54950839999998</v>
      </c>
      <c r="H35">
        <f ca="1">IF(AND(ISNUMBER($H$86),$B$53=1),$H$86,HLOOKUP(INDIRECT(ADDRESS(2,COLUMN())),OFFSET($BM$2,0,0,ROW()-1,59),ROW()-1,FALSE))</f>
        <v>373.18337530000002</v>
      </c>
      <c r="I35">
        <f ca="1">IF(AND(ISNUMBER($I$86),$B$53=1),$I$86,HLOOKUP(INDIRECT(ADDRESS(2,COLUMN())),OFFSET($BM$2,0,0,ROW()-1,59),ROW()-1,FALSE))</f>
        <v>317.47142780000001</v>
      </c>
      <c r="J35">
        <f ca="1">IF(AND(ISNUMBER($J$86),$B$53=1),$J$86,HLOOKUP(INDIRECT(ADDRESS(2,COLUMN())),OFFSET($BM$2,0,0,ROW()-1,59),ROW()-1,FALSE))</f>
        <v>317.09937309999998</v>
      </c>
      <c r="K35">
        <f ca="1">IF(AND(ISNUMBER($K$86),$B$53=1),$K$86,HLOOKUP(INDIRECT(ADDRESS(2,COLUMN())),OFFSET($BM$2,0,0,ROW()-1,59),ROW()-1,FALSE))</f>
        <v>337.78405959999998</v>
      </c>
      <c r="L35">
        <f ca="1">IF(AND(ISNUMBER($L$86),$B$53=1),$L$86,HLOOKUP(INDIRECT(ADDRESS(2,COLUMN())),OFFSET($BM$2,0,0,ROW()-1,59),ROW()-1,FALSE))</f>
        <v>318.95670480000001</v>
      </c>
      <c r="M35">
        <f ca="1">IF(AND(ISNUMBER($M$86),$B$53=1),$M$86,HLOOKUP(INDIRECT(ADDRESS(2,COLUMN())),OFFSET($BM$2,0,0,ROW()-1,59),ROW()-1,FALSE))</f>
        <v>645.35969260000002</v>
      </c>
      <c r="N35">
        <f ca="1">IF(AND(ISNUMBER($N$86),$B$53=1),$N$86,HLOOKUP(INDIRECT(ADDRESS(2,COLUMN())),OFFSET($BM$2,0,0,ROW()-1,59),ROW()-1,FALSE))</f>
        <v>343.28953719999998</v>
      </c>
      <c r="O35">
        <f ca="1">IF(AND(ISNUMBER($O$86),$B$53=1),$O$86,HLOOKUP(INDIRECT(ADDRESS(2,COLUMN())),OFFSET($BM$2,0,0,ROW()-1,59),ROW()-1,FALSE))</f>
        <v>327.79063300000001</v>
      </c>
      <c r="P35">
        <f ca="1">IF(AND(ISNUMBER($P$86),$B$53=1),$P$86,HLOOKUP(INDIRECT(ADDRESS(2,COLUMN())),OFFSET($BM$2,0,0,ROW()-1,59),ROW()-1,FALSE))</f>
        <v>268.26234720000002</v>
      </c>
      <c r="Q35">
        <f ca="1">IF(AND(ISNUMBER($Q$86),$B$53=1),$Q$86,HLOOKUP(INDIRECT(ADDRESS(2,COLUMN())),OFFSET($BM$2,0,0,ROW()-1,59),ROW()-1,FALSE))</f>
        <v>331.23082219999998</v>
      </c>
      <c r="R35">
        <f ca="1">IF(AND(ISNUMBER($R$86),$B$53=1),$R$86,HLOOKUP(INDIRECT(ADDRESS(2,COLUMN())),OFFSET($BM$2,0,0,ROW()-1,59),ROW()-1,FALSE))</f>
        <v>315.731898</v>
      </c>
      <c r="S35">
        <f ca="1">IF(AND(ISNUMBER($S$86),$B$53=1),$S$86,HLOOKUP(INDIRECT(ADDRESS(2,COLUMN())),OFFSET($BM$2,0,0,ROW()-1,59),ROW()-1,FALSE))</f>
        <v>281.34353340000001</v>
      </c>
      <c r="T35">
        <f ca="1">IF(AND(ISNUMBER($T$86),$B$53=1),$T$86,HLOOKUP(INDIRECT(ADDRESS(2,COLUMN())),OFFSET($BM$2,0,0,ROW()-1,59),ROW()-1,FALSE))</f>
        <v>250.80268050000001</v>
      </c>
      <c r="U35">
        <f ca="1">IF(AND(ISNUMBER($U$86),$B$53=1),$U$86,HLOOKUP(INDIRECT(ADDRESS(2,COLUMN())),OFFSET($BM$2,0,0,ROW()-1,59),ROW()-1,FALSE))</f>
        <v>306.54751290000002</v>
      </c>
      <c r="V35">
        <f ca="1">IF(AND(ISNUMBER($V$86),$B$53=1),$V$86,HLOOKUP(INDIRECT(ADDRESS(2,COLUMN())),OFFSET($BM$2,0,0,ROW()-1,59),ROW()-1,FALSE))</f>
        <v>251.22056860000001</v>
      </c>
      <c r="W35">
        <f ca="1">IF(AND(ISNUMBER($W$86),$B$53=1),$W$86,HLOOKUP(INDIRECT(ADDRESS(2,COLUMN())),OFFSET($BM$2,0,0,ROW()-1,59),ROW()-1,FALSE))</f>
        <v>291.39042690000002</v>
      </c>
      <c r="X35">
        <f ca="1">IF(AND(ISNUMBER($X$86),$B$53=1),$X$86,HLOOKUP(INDIRECT(ADDRESS(2,COLUMN())),OFFSET($BM$2,0,0,ROW()-1,59),ROW()-1,FALSE))</f>
        <v>297.97386130000001</v>
      </c>
      <c r="Y35">
        <f ca="1">IF(AND(ISNUMBER($Y$86),$B$53=1),$Y$86,HLOOKUP(INDIRECT(ADDRESS(2,COLUMN())),OFFSET($BM$2,0,0,ROW()-1,59),ROW()-1,FALSE))</f>
        <v>291.94725549999998</v>
      </c>
      <c r="Z35">
        <f ca="1">IF(AND(ISNUMBER($Z$86),$B$53=1),$Z$86,HLOOKUP(INDIRECT(ADDRESS(2,COLUMN())),OFFSET($BM$2,0,0,ROW()-1,59),ROW()-1,FALSE))</f>
        <v>251.88508899999999</v>
      </c>
      <c r="AA35">
        <f ca="1">IF(AND(ISNUMBER($AA$86),$B$53=1),$AA$86,HLOOKUP(INDIRECT(ADDRESS(2,COLUMN())),OFFSET($BM$2,0,0,ROW()-1,59),ROW()-1,FALSE))</f>
        <v>243.4577094</v>
      </c>
      <c r="AB35">
        <f ca="1">IF(AND(ISNUMBER($AB$86),$B$53=1),$AB$86,HLOOKUP(INDIRECT(ADDRESS(2,COLUMN())),OFFSET($BM$2,0,0,ROW()-1,59),ROW()-1,FALSE))</f>
        <v>195.28996000000001</v>
      </c>
      <c r="AC35">
        <f ca="1">IF(AND(ISNUMBER($AC$86),$B$53=1),$AC$86,HLOOKUP(INDIRECT(ADDRESS(2,COLUMN())),OFFSET($BM$2,0,0,ROW()-1,59),ROW()-1,FALSE))</f>
        <v>206.7921523</v>
      </c>
      <c r="AD35">
        <f ca="1">IF(AND(ISNUMBER($AD$86),$B$53=1),$AD$86,HLOOKUP(INDIRECT(ADDRESS(2,COLUMN())),OFFSET($BM$2,0,0,ROW()-1,59),ROW()-1,FALSE))</f>
        <v>178.7765512</v>
      </c>
      <c r="AE35">
        <f ca="1">IF(AND(ISNUMBER($AE$86),$B$53=1),$AE$86,HLOOKUP(INDIRECT(ADDRESS(2,COLUMN())),OFFSET($BM$2,0,0,ROW()-1,59),ROW()-1,FALSE))</f>
        <v>241.10218409999999</v>
      </c>
      <c r="AF35">
        <f ca="1">IF(AND(ISNUMBER($AF$86),$B$53=1),$AF$86,HLOOKUP(INDIRECT(ADDRESS(2,COLUMN())),OFFSET($BM$2,0,0,ROW()-1,59),ROW()-1,FALSE))</f>
        <v>247.8756789</v>
      </c>
      <c r="AG35">
        <f ca="1">IF(AND(ISNUMBER($AG$86),$B$53=1),$AG$86,HLOOKUP(INDIRECT(ADDRESS(2,COLUMN())),OFFSET($BM$2,0,0,ROW()-1,59),ROW()-1,FALSE))</f>
        <v>210.78751790000001</v>
      </c>
      <c r="AH35">
        <f ca="1">IF(AND(ISNUMBER($AH$86),$B$53=1),$AH$86,HLOOKUP(INDIRECT(ADDRESS(2,COLUMN())),OFFSET($BM$2,0,0,ROW()-1,59),ROW()-1,FALSE))</f>
        <v>220.07508429999999</v>
      </c>
      <c r="AI35">
        <f ca="1">IF(AND(ISNUMBER($AI$86),$B$53=1),$AI$86,HLOOKUP(INDIRECT(ADDRESS(2,COLUMN())),OFFSET($BM$2,0,0,ROW()-1,59),ROW()-1,FALSE))</f>
        <v>242.85191699999999</v>
      </c>
      <c r="AJ35">
        <f ca="1">IF(AND(ISNUMBER($AJ$86),$B$53=1),$AJ$86,HLOOKUP(INDIRECT(ADDRESS(2,COLUMN())),OFFSET($BM$2,0,0,ROW()-1,59),ROW()-1,FALSE))</f>
        <v>238.86191719999999</v>
      </c>
      <c r="AK35">
        <f ca="1">IF(AND(ISNUMBER($AK$86),$B$53=1),$AK$86,HLOOKUP(INDIRECT(ADDRESS(2,COLUMN())),OFFSET($BM$2,0,0,ROW()-1,59),ROW()-1,FALSE))</f>
        <v>176.7531765</v>
      </c>
      <c r="AL35">
        <f ca="1">IF(AND(ISNUMBER($AL$86),$B$53=1),$AL$86,HLOOKUP(INDIRECT(ADDRESS(2,COLUMN())),OFFSET($BM$2,0,0,ROW()-1,59),ROW()-1,FALSE))</f>
        <v>187.2572601</v>
      </c>
      <c r="AM35">
        <f ca="1">IF(AND(ISNUMBER($AM$86),$B$53=1),$AM$86,HLOOKUP(INDIRECT(ADDRESS(2,COLUMN())),OFFSET($BM$2,0,0,ROW()-1,59),ROW()-1,FALSE))</f>
        <v>174.28833689999999</v>
      </c>
      <c r="AN35">
        <f ca="1">IF(AND(ISNUMBER($AN$86),$B$53=1),$AN$86,HLOOKUP(INDIRECT(ADDRESS(2,COLUMN())),OFFSET($BM$2,0,0,ROW()-1,59),ROW()-1,FALSE))</f>
        <v>193.9062911</v>
      </c>
      <c r="AO35" t="str">
        <f ca="1">IF(AND(ISNUMBER($AO$86),$B$53=1),$AO$86,HLOOKUP(INDIRECT(ADDRESS(2,COLUMN())),OFFSET($BM$2,0,0,ROW()-1,59),ROW()-1,FALSE))</f>
        <v/>
      </c>
      <c r="AP35">
        <f ca="1">IF(AND(ISNUMBER($AP$86),$B$53=1),$AP$86,HLOOKUP(INDIRECT(ADDRESS(2,COLUMN())),OFFSET($BM$2,0,0,ROW()-1,59),ROW()-1,FALSE))</f>
        <v>138.02686370000001</v>
      </c>
      <c r="AQ35">
        <f ca="1">IF(AND(ISNUMBER($AQ$86),$B$53=1),$AQ$86,HLOOKUP(INDIRECT(ADDRESS(2,COLUMN())),OFFSET($BM$2,0,0,ROW()-1,59),ROW()-1,FALSE))</f>
        <v>164.5495397</v>
      </c>
      <c r="AR35">
        <f ca="1">IF(AND(ISNUMBER($AR$86),$B$53=1),$AR$86,HLOOKUP(INDIRECT(ADDRESS(2,COLUMN())),OFFSET($BM$2,0,0,ROW()-1,59),ROW()-1,FALSE))</f>
        <v>141.91164180000001</v>
      </c>
      <c r="AS35">
        <f ca="1">IF(AND(ISNUMBER($AS$86),$B$53=1),$AS$86,HLOOKUP(INDIRECT(ADDRESS(2,COLUMN())),OFFSET($BM$2,0,0,ROW()-1,59),ROW()-1,FALSE))</f>
        <v>169.9570563</v>
      </c>
      <c r="AT35">
        <f ca="1">IF(AND(ISNUMBER($AT$86),$B$53=1),$AT$86,HLOOKUP(INDIRECT(ADDRESS(2,COLUMN())),OFFSET($BM$2,0,0,ROW()-1,59),ROW()-1,FALSE))</f>
        <v>231.5189077</v>
      </c>
      <c r="AU35">
        <f ca="1">IF(AND(ISNUMBER($AU$86),$B$53=1),$AU$86,HLOOKUP(INDIRECT(ADDRESS(2,COLUMN())),OFFSET($BM$2,0,0,ROW()-1,59),ROW()-1,FALSE))</f>
        <v>208.02191070000001</v>
      </c>
      <c r="AV35">
        <f ca="1">IF(AND(ISNUMBER($AV$86),$B$53=1),$AV$86,HLOOKUP(INDIRECT(ADDRESS(2,COLUMN())),OFFSET($BM$2,0,0,ROW()-1,59),ROW()-1,FALSE))</f>
        <v>225.74201500000001</v>
      </c>
      <c r="AW35" t="str">
        <f ca="1">IF(AND(ISNUMBER($AW$86),$B$53=1),$AW$86,HLOOKUP(INDIRECT(ADDRESS(2,COLUMN())),OFFSET($BM$2,0,0,ROW()-1,59),ROW()-1,FALSE))</f>
        <v/>
      </c>
      <c r="AX35" t="str">
        <f ca="1">IF(AND(ISNUMBER($AX$86),$B$53=1),$AX$86,HLOOKUP(INDIRECT(ADDRESS(2,COLUMN())),OFFSET($BM$2,0,0,ROW()-1,59),ROW()-1,FALSE))</f>
        <v/>
      </c>
      <c r="AY35" t="str">
        <f ca="1">IF(AND(ISNUMBER($AY$86),$B$53=1),$AY$86,HLOOKUP(INDIRECT(ADDRESS(2,COLUMN())),OFFSET($BM$2,0,0,ROW()-1,59),ROW()-1,FALSE))</f>
        <v/>
      </c>
      <c r="AZ35" t="str">
        <f ca="1">IF(AND(ISNUMBER($AZ$86),$B$53=1),$AZ$86,HLOOKUP(INDIRECT(ADDRESS(2,COLUMN())),OFFSET($BM$2,0,0,ROW()-1,59),ROW()-1,FALSE))</f>
        <v/>
      </c>
      <c r="BA35" t="str">
        <f ca="1">IF(AND(ISNUMBER($BA$86),$B$53=1),$BA$86,HLOOKUP(INDIRECT(ADDRESS(2,COLUMN())),OFFSET($BM$2,0,0,ROW()-1,59),ROW()-1,FALSE))</f>
        <v/>
      </c>
      <c r="BB35" t="str">
        <f ca="1">IF(AND(ISNUMBER($BB$86),$B$53=1),$BB$86,HLOOKUP(INDIRECT(ADDRESS(2,COLUMN())),OFFSET($BM$2,0,0,ROW()-1,59),ROW()-1,FALSE))</f>
        <v/>
      </c>
      <c r="BC35" t="str">
        <f ca="1">IF(AND(ISNUMBER($BC$86),$B$53=1),$BC$86,HLOOKUP(INDIRECT(ADDRESS(2,COLUMN())),OFFSET($BM$2,0,0,ROW()-1,59),ROW()-1,FALSE))</f>
        <v/>
      </c>
      <c r="BD35" t="str">
        <f ca="1">IF(AND(ISNUMBER($BD$86),$B$53=1),$BD$86,HLOOKUP(INDIRECT(ADDRESS(2,COLUMN())),OFFSET($BM$2,0,0,ROW()-1,59),ROW()-1,FALSE))</f>
        <v/>
      </c>
      <c r="BE35" t="str">
        <f ca="1">IF(AND(ISNUMBER($BE$86),$B$53=1),$BE$86,HLOOKUP(INDIRECT(ADDRESS(2,COLUMN())),OFFSET($BM$2,0,0,ROW()-1,59),ROW()-1,FALSE))</f>
        <v/>
      </c>
      <c r="BF35" t="str">
        <f ca="1">IF(AND(ISNUMBER($BF$86),$B$53=1),$BF$86,HLOOKUP(INDIRECT(ADDRESS(2,COLUMN())),OFFSET($BM$2,0,0,ROW()-1,59),ROW()-1,FALSE))</f>
        <v/>
      </c>
      <c r="BG35" t="str">
        <f ca="1">IF(AND(ISNUMBER($BG$86),$B$53=1),$BG$86,HLOOKUP(INDIRECT(ADDRESS(2,COLUMN())),OFFSET($BM$2,0,0,ROW()-1,59),ROW()-1,FALSE))</f>
        <v/>
      </c>
      <c r="BH35" t="str">
        <f ca="1">IF(AND(ISNUMBER($BH$86),$B$53=1),$BH$86,HLOOKUP(INDIRECT(ADDRESS(2,COLUMN())),OFFSET($BM$2,0,0,ROW()-1,59),ROW()-1,FALSE))</f>
        <v/>
      </c>
      <c r="BI35" t="str">
        <f ca="1">IF(AND(ISNUMBER($BI$86),$B$53=1),$BI$86,HLOOKUP(INDIRECT(ADDRESS(2,COLUMN())),OFFSET($BM$2,0,0,ROW()-1,59),ROW()-1,FALSE))</f>
        <v/>
      </c>
      <c r="BJ35" t="str">
        <f ca="1">IF(AND(ISNUMBER($BJ$86),$B$53=1),$BJ$86,HLOOKUP(INDIRECT(ADDRESS(2,COLUMN())),OFFSET($BM$2,0,0,ROW()-1,59),ROW()-1,FALSE))</f>
        <v/>
      </c>
      <c r="BK35" t="str">
        <f ca="1">IF(AND(ISNUMBER($BK$86),$B$53=1),$BK$86,HLOOKUP(INDIRECT(ADDRESS(2,COLUMN())),OFFSET($BM$2,0,0,ROW()-1,59),ROW()-1,FALSE))</f>
        <v/>
      </c>
      <c r="BL35" t="str">
        <f ca="1">IF(AND(ISNUMBER($BL$86),$B$53=1),$BL$86,HLOOKUP(INDIRECT(ADDRESS(2,COLUMN())),OFFSET($BM$2,0,0,ROW()-1,59),ROW()-1,FALSE))</f>
        <v/>
      </c>
      <c r="BM35">
        <f>388.4618438</f>
        <v>388.4618438</v>
      </c>
      <c r="BN35">
        <f>412.5495084</f>
        <v>412.54950839999998</v>
      </c>
      <c r="BO35">
        <f>373.1833753</f>
        <v>373.18337530000002</v>
      </c>
      <c r="BP35">
        <f>317.4714278</f>
        <v>317.47142780000001</v>
      </c>
      <c r="BQ35">
        <f>317.0993731</f>
        <v>317.09937309999998</v>
      </c>
      <c r="BR35">
        <f>337.7840596</f>
        <v>337.78405959999998</v>
      </c>
      <c r="BS35">
        <f>318.9567048</f>
        <v>318.95670480000001</v>
      </c>
      <c r="BT35">
        <f>645.3596926</f>
        <v>645.35969260000002</v>
      </c>
      <c r="BU35">
        <f>343.2895372</f>
        <v>343.28953719999998</v>
      </c>
      <c r="BV35">
        <f>327.790633</f>
        <v>327.79063300000001</v>
      </c>
      <c r="BW35">
        <f>268.2623472</f>
        <v>268.26234720000002</v>
      </c>
      <c r="BX35">
        <f>331.2308222</f>
        <v>331.23082219999998</v>
      </c>
      <c r="BY35">
        <f>315.731898</f>
        <v>315.731898</v>
      </c>
      <c r="BZ35">
        <f>281.3435334</f>
        <v>281.34353340000001</v>
      </c>
      <c r="CA35">
        <f>250.8026805</f>
        <v>250.80268050000001</v>
      </c>
      <c r="CB35">
        <f>306.5475129</f>
        <v>306.54751290000002</v>
      </c>
      <c r="CC35">
        <f>251.2205686</f>
        <v>251.22056860000001</v>
      </c>
      <c r="CD35">
        <f>291.3904269</f>
        <v>291.39042690000002</v>
      </c>
      <c r="CE35">
        <f>297.9738613</f>
        <v>297.97386130000001</v>
      </c>
      <c r="CF35">
        <f>291.9472555</f>
        <v>291.94725549999998</v>
      </c>
      <c r="CG35">
        <f>251.885089</f>
        <v>251.88508899999999</v>
      </c>
      <c r="CH35">
        <f>243.4577094</f>
        <v>243.4577094</v>
      </c>
      <c r="CI35">
        <f>195.28996</f>
        <v>195.28996000000001</v>
      </c>
      <c r="CJ35">
        <f>206.7921523</f>
        <v>206.7921523</v>
      </c>
      <c r="CK35">
        <f>178.7765512</f>
        <v>178.7765512</v>
      </c>
      <c r="CL35">
        <f>241.1021841</f>
        <v>241.10218409999999</v>
      </c>
      <c r="CM35">
        <f>247.8756789</f>
        <v>247.8756789</v>
      </c>
      <c r="CN35">
        <f>210.7875179</f>
        <v>210.78751790000001</v>
      </c>
      <c r="CO35">
        <f>220.0750843</f>
        <v>220.07508429999999</v>
      </c>
      <c r="CP35">
        <f>242.851917</f>
        <v>242.85191699999999</v>
      </c>
      <c r="CQ35">
        <f>238.8619172</f>
        <v>238.86191719999999</v>
      </c>
      <c r="CR35">
        <f>176.7531765</f>
        <v>176.7531765</v>
      </c>
      <c r="CS35">
        <f>187.2572601</f>
        <v>187.2572601</v>
      </c>
      <c r="CT35">
        <f>174.2883369</f>
        <v>174.28833689999999</v>
      </c>
      <c r="CU35">
        <f>193.9062911</f>
        <v>193.9062911</v>
      </c>
      <c r="CV35" t="str">
        <f>""</f>
        <v/>
      </c>
      <c r="CW35">
        <f>138.0268637</f>
        <v>138.02686370000001</v>
      </c>
      <c r="CX35">
        <f>164.5495397</f>
        <v>164.5495397</v>
      </c>
      <c r="CY35">
        <f>141.9116418</f>
        <v>141.91164180000001</v>
      </c>
      <c r="CZ35">
        <f>169.9570563</f>
        <v>169.9570563</v>
      </c>
      <c r="DA35">
        <f>231.5189077</f>
        <v>231.5189077</v>
      </c>
      <c r="DB35">
        <f>208.0219107</f>
        <v>208.02191070000001</v>
      </c>
      <c r="DC35">
        <f>225.742015</f>
        <v>225.74201500000001</v>
      </c>
      <c r="DD35" t="str">
        <f>""</f>
        <v/>
      </c>
      <c r="DE35" t="str">
        <f>""</f>
        <v/>
      </c>
      <c r="DF35" t="str">
        <f>""</f>
        <v/>
      </c>
      <c r="DG35" t="str">
        <f>""</f>
        <v/>
      </c>
      <c r="DH35" t="str">
        <f>""</f>
        <v/>
      </c>
      <c r="DI35" t="str">
        <f>""</f>
        <v/>
      </c>
      <c r="DJ35" t="str">
        <f>""</f>
        <v/>
      </c>
      <c r="DK35" t="str">
        <f>""</f>
        <v/>
      </c>
      <c r="DL35" t="str">
        <f>""</f>
        <v/>
      </c>
      <c r="DM35" t="str">
        <f>""</f>
        <v/>
      </c>
      <c r="DN35" t="str">
        <f>""</f>
        <v/>
      </c>
      <c r="DO35" t="str">
        <f>""</f>
        <v/>
      </c>
      <c r="DP35" t="str">
        <f>""</f>
        <v/>
      </c>
      <c r="DQ35" t="str">
        <f>""</f>
        <v/>
      </c>
      <c r="DR35" t="str">
        <f>""</f>
        <v/>
      </c>
      <c r="DS35" t="str">
        <f>""</f>
        <v/>
      </c>
    </row>
    <row r="36" spans="1:123" x14ac:dyDescent="0.25">
      <c r="A36" t="str">
        <f>"By Geography ($M) - Tesla"</f>
        <v>By Geography ($M) - Tesla</v>
      </c>
      <c r="B36" t="str">
        <f>"TSLA US Equity"</f>
        <v>TSLA US Equity</v>
      </c>
      <c r="C36" t="str">
        <f>"IS010"</f>
        <v>IS010</v>
      </c>
      <c r="D36" t="str">
        <f>"SALES_REV_TURN"</f>
        <v>SALES_REV_TURN</v>
      </c>
      <c r="E36" t="str">
        <f t="shared" si="1"/>
        <v>Dynamic</v>
      </c>
      <c r="F36">
        <f ca="1">IF(AND(ISNUMBER($F$87),$B$53=1),$F$87,HLOOKUP(INDIRECT(ADDRESS(2,COLUMN())),OFFSET($BM$2,0,0,ROW()-1,59),ROW()-1,FALSE))</f>
        <v>7225.8729999999996</v>
      </c>
      <c r="G36">
        <f ca="1">IF(AND(ISNUMBER($G$87),$B$53=1),$G$87,HLOOKUP(INDIRECT(ADDRESS(2,COLUMN())),OFFSET($BM$2,0,0,ROW()-1,59),ROW()-1,FALSE))</f>
        <v>6824.4129999999996</v>
      </c>
      <c r="H36">
        <f ca="1">IF(AND(ISNUMBER($H$87),$B$53=1),$H$87,HLOOKUP(INDIRECT(ADDRESS(2,COLUMN())),OFFSET($BM$2,0,0,ROW()-1,59),ROW()-1,FALSE))</f>
        <v>4002.2310000000002</v>
      </c>
      <c r="I36">
        <f ca="1">IF(AND(ISNUMBER($I$87),$B$53=1),$I$87,HLOOKUP(INDIRECT(ADDRESS(2,COLUMN())),OFFSET($BM$2,0,0,ROW()-1,59),ROW()-1,FALSE))</f>
        <v>3408.7510000000002</v>
      </c>
      <c r="J36">
        <f ca="1">IF(AND(ISNUMBER($J$87),$B$53=1),$J$87,HLOOKUP(INDIRECT(ADDRESS(2,COLUMN())),OFFSET($BM$2,0,0,ROW()-1,59),ROW()-1,FALSE))</f>
        <v>3288.2489999999998</v>
      </c>
      <c r="K36">
        <f ca="1">IF(AND(ISNUMBER($K$87),$B$53=1),$K$87,HLOOKUP(INDIRECT(ADDRESS(2,COLUMN())),OFFSET($BM$2,0,0,ROW()-1,59),ROW()-1,FALSE))</f>
        <v>2984.6750000000002</v>
      </c>
      <c r="L36">
        <f ca="1">IF(AND(ISNUMBER($L$87),$B$53=1),$L$87,HLOOKUP(INDIRECT(ADDRESS(2,COLUMN())),OFFSET($BM$2,0,0,ROW()-1,59),ROW()-1,FALSE))</f>
        <v>2789.5569999999998</v>
      </c>
      <c r="M36">
        <f ca="1">IF(AND(ISNUMBER($M$87),$B$53=1),$M$87,HLOOKUP(INDIRECT(ADDRESS(2,COLUMN())),OFFSET($BM$2,0,0,ROW()-1,59),ROW()-1,FALSE))</f>
        <v>2696.27</v>
      </c>
      <c r="N36">
        <f ca="1">IF(AND(ISNUMBER($N$87),$B$53=1),$N$87,HLOOKUP(INDIRECT(ADDRESS(2,COLUMN())),OFFSET($BM$2,0,0,ROW()-1,59),ROW()-1,FALSE))</f>
        <v>2284.6309999999999</v>
      </c>
      <c r="O36">
        <f ca="1">IF(AND(ISNUMBER($O$87),$B$53=1),$O$87,HLOOKUP(INDIRECT(ADDRESS(2,COLUMN())),OFFSET($BM$2,0,0,ROW()-1,59),ROW()-1,FALSE))</f>
        <v>2298.4360000000001</v>
      </c>
      <c r="P36">
        <f ca="1">IF(AND(ISNUMBER($P$87),$B$53=1),$P$87,HLOOKUP(INDIRECT(ADDRESS(2,COLUMN())),OFFSET($BM$2,0,0,ROW()-1,59),ROW()-1,FALSE))</f>
        <v>1270.0170000000001</v>
      </c>
      <c r="Q36">
        <f ca="1">IF(AND(ISNUMBER($Q$87),$B$53=1),$Q$87,HLOOKUP(INDIRECT(ADDRESS(2,COLUMN())),OFFSET($BM$2,0,0,ROW()-1,59),ROW()-1,FALSE))</f>
        <v>1147.048</v>
      </c>
      <c r="R36">
        <f ca="1">IF(AND(ISNUMBER($R$87),$B$53=1),$R$87,HLOOKUP(INDIRECT(ADDRESS(2,COLUMN())),OFFSET($BM$2,0,0,ROW()-1,59),ROW()-1,FALSE))</f>
        <v>1214.3789999999999</v>
      </c>
      <c r="S36">
        <f ca="1">IF(AND(ISNUMBER($S$87),$B$53=1),$S$87,HLOOKUP(INDIRECT(ADDRESS(2,COLUMN())),OFFSET($BM$2,0,0,ROW()-1,59),ROW()-1,FALSE))</f>
        <v>936.78899999999999</v>
      </c>
      <c r="T36">
        <f ca="1">IF(AND(ISNUMBER($T$87),$B$53=1),$T$87,HLOOKUP(INDIRECT(ADDRESS(2,COLUMN())),OFFSET($BM$2,0,0,ROW()-1,59),ROW()-1,FALSE))</f>
        <v>954.976</v>
      </c>
      <c r="U36">
        <f ca="1">IF(AND(ISNUMBER($U$87),$B$53=1),$U$87,HLOOKUP(INDIRECT(ADDRESS(2,COLUMN())),OFFSET($BM$2,0,0,ROW()-1,59),ROW()-1,FALSE))</f>
        <v>939.88</v>
      </c>
      <c r="V36">
        <f ca="1">IF(AND(ISNUMBER($V$87),$B$53=1),$V$87,HLOOKUP(INDIRECT(ADDRESS(2,COLUMN())),OFFSET($BM$2,0,0,ROW()-1,59),ROW()-1,FALSE))</f>
        <v>956.66099999999994</v>
      </c>
      <c r="W36">
        <f ca="1">IF(AND(ISNUMBER($W$87),$B$53=1),$W$87,HLOOKUP(INDIRECT(ADDRESS(2,COLUMN())),OFFSET($BM$2,0,0,ROW()-1,59),ROW()-1,FALSE))</f>
        <v>851.80399999999997</v>
      </c>
      <c r="X36">
        <f ca="1">IF(AND(ISNUMBER($X$87),$B$53=1),$X$87,HLOOKUP(INDIRECT(ADDRESS(2,COLUMN())),OFFSET($BM$2,0,0,ROW()-1,59),ROW()-1,FALSE))</f>
        <v>769.34900000000005</v>
      </c>
      <c r="Y36">
        <f ca="1">IF(AND(ISNUMBER($Y$87),$B$53=1),$Y$87,HLOOKUP(INDIRECT(ADDRESS(2,COLUMN())),OFFSET($BM$2,0,0,ROW()-1,59),ROW()-1,FALSE))</f>
        <v>620.54200000000003</v>
      </c>
      <c r="Z36">
        <f ca="1">IF(AND(ISNUMBER($Z$87),$B$53=1),$Z$87,HLOOKUP(INDIRECT(ADDRESS(2,COLUMN())),OFFSET($BM$2,0,0,ROW()-1,59),ROW()-1,FALSE))</f>
        <v>615.21900000000005</v>
      </c>
      <c r="AA36">
        <f ca="1">IF(AND(ISNUMBER($AA$87),$B$53=1),$AA$87,HLOOKUP(INDIRECT(ADDRESS(2,COLUMN())),OFFSET($BM$2,0,0,ROW()-1,59),ROW()-1,FALSE))</f>
        <v>431.346</v>
      </c>
      <c r="AB36">
        <f ca="1">IF(AND(ISNUMBER($AB$87),$B$53=1),$AB$87,HLOOKUP(INDIRECT(ADDRESS(2,COLUMN())),OFFSET($BM$2,0,0,ROW()-1,59),ROW()-1,FALSE))</f>
        <v>405.13900000000001</v>
      </c>
      <c r="AC36">
        <f ca="1">IF(AND(ISNUMBER($AC$87),$B$53=1),$AC$87,HLOOKUP(INDIRECT(ADDRESS(2,COLUMN())),OFFSET($BM$2,0,0,ROW()-1,59),ROW()-1,FALSE))</f>
        <v>561.79200000000003</v>
      </c>
      <c r="AD36">
        <f ca="1">IF(AND(ISNUMBER($AD$87),$B$53=1),$AD$87,HLOOKUP(INDIRECT(ADDRESS(2,COLUMN())),OFFSET($BM$2,0,0,ROW()-1,59),ROW()-1,FALSE))</f>
        <v>306.33199999999999</v>
      </c>
      <c r="AE36">
        <f ca="1">IF(AND(ISNUMBER($AE$87),$B$53=1),$AE$87,HLOOKUP(INDIRECT(ADDRESS(2,COLUMN())),OFFSET($BM$2,0,0,ROW()-1,59),ROW()-1,FALSE))</f>
        <v>50.103999999999999</v>
      </c>
      <c r="AF36">
        <f ca="1">IF(AND(ISNUMBER($AF$87),$B$53=1),$AF$87,HLOOKUP(INDIRECT(ADDRESS(2,COLUMN())),OFFSET($BM$2,0,0,ROW()-1,59),ROW()-1,FALSE))</f>
        <v>26.652999999999999</v>
      </c>
      <c r="AG36">
        <f ca="1">IF(AND(ISNUMBER($AG$87),$B$53=1),$AG$87,HLOOKUP(INDIRECT(ADDRESS(2,COLUMN())),OFFSET($BM$2,0,0,ROW()-1,59),ROW()-1,FALSE))</f>
        <v>30.167000000000002</v>
      </c>
      <c r="AH36">
        <f ca="1">IF(AND(ISNUMBER($AH$87),$B$53=1),$AH$87,HLOOKUP(INDIRECT(ADDRESS(2,COLUMN())),OFFSET($BM$2,0,0,ROW()-1,59),ROW()-1,FALSE))</f>
        <v>39.375</v>
      </c>
      <c r="AI36">
        <f ca="1">IF(AND(ISNUMBER($AI$87),$B$53=1),$AI$87,HLOOKUP(INDIRECT(ADDRESS(2,COLUMN())),OFFSET($BM$2,0,0,ROW()-1,59),ROW()-1,FALSE))</f>
        <v>57.665999999999997</v>
      </c>
      <c r="AJ36">
        <f ca="1">IF(AND(ISNUMBER($AJ$87),$B$53=1),$AJ$87,HLOOKUP(INDIRECT(ADDRESS(2,COLUMN())),OFFSET($BM$2,0,0,ROW()-1,59),ROW()-1,FALSE))</f>
        <v>58.170999999999999</v>
      </c>
      <c r="AK36">
        <f ca="1">IF(AND(ISNUMBER($AK$87),$B$53=1),$AK$87,HLOOKUP(INDIRECT(ADDRESS(2,COLUMN())),OFFSET($BM$2,0,0,ROW()-1,59),ROW()-1,FALSE))</f>
        <v>49.03</v>
      </c>
      <c r="AL36">
        <f ca="1">IF(AND(ISNUMBER($AL$87),$B$53=1),$AL$87,HLOOKUP(INDIRECT(ADDRESS(2,COLUMN())),OFFSET($BM$2,0,0,ROW()-1,59),ROW()-1,FALSE))</f>
        <v>36.286000000000001</v>
      </c>
      <c r="AM36">
        <f ca="1">IF(AND(ISNUMBER($AM$87),$B$53=1),$AM$87,HLOOKUP(INDIRECT(ADDRESS(2,COLUMN())),OFFSET($BM$2,0,0,ROW()-1,59),ROW()-1,FALSE))</f>
        <v>31.241</v>
      </c>
      <c r="AN36">
        <f ca="1">IF(AND(ISNUMBER($AN$87),$B$53=1),$AN$87,HLOOKUP(INDIRECT(ADDRESS(2,COLUMN())),OFFSET($BM$2,0,0,ROW()-1,59),ROW()-1,FALSE))</f>
        <v>28.405000000000001</v>
      </c>
      <c r="AO36">
        <f ca="1">IF(AND(ISNUMBER($AO$87),$B$53=1),$AO$87,HLOOKUP(INDIRECT(ADDRESS(2,COLUMN())),OFFSET($BM$2,0,0,ROW()-1,59),ROW()-1,FALSE))</f>
        <v>20.812000000000001</v>
      </c>
      <c r="AP36">
        <f ca="1">IF(AND(ISNUMBER($AP$87),$B$53=1),$AP$87,HLOOKUP(INDIRECT(ADDRESS(2,COLUMN())),OFFSET($BM$2,0,0,ROW()-1,59),ROW()-1,FALSE))</f>
        <v>18.585000000000001</v>
      </c>
      <c r="AQ36" t="str">
        <f ca="1">IF(AND(ISNUMBER($AQ$87),$B$53=1),$AQ$87,HLOOKUP(INDIRECT(ADDRESS(2,COLUMN())),OFFSET($BM$2,0,0,ROW()-1,59),ROW()-1,FALSE))</f>
        <v/>
      </c>
      <c r="AR36" t="str">
        <f ca="1">IF(AND(ISNUMBER($AR$87),$B$53=1),$AR$87,HLOOKUP(INDIRECT(ADDRESS(2,COLUMN())),OFFSET($BM$2,0,0,ROW()-1,59),ROW()-1,FALSE))</f>
        <v/>
      </c>
      <c r="AS36" t="str">
        <f ca="1">IF(AND(ISNUMBER($AS$87),$B$53=1),$AS$87,HLOOKUP(INDIRECT(ADDRESS(2,COLUMN())),OFFSET($BM$2,0,0,ROW()-1,59),ROW()-1,FALSE))</f>
        <v/>
      </c>
      <c r="AT36" t="str">
        <f ca="1">IF(AND(ISNUMBER($AT$87),$B$53=1),$AT$87,HLOOKUP(INDIRECT(ADDRESS(2,COLUMN())),OFFSET($BM$2,0,0,ROW()-1,59),ROW()-1,FALSE))</f>
        <v/>
      </c>
      <c r="AU36" t="str">
        <f ca="1">IF(AND(ISNUMBER($AU$87),$B$53=1),$AU$87,HLOOKUP(INDIRECT(ADDRESS(2,COLUMN())),OFFSET($BM$2,0,0,ROW()-1,59),ROW()-1,FALSE))</f>
        <v/>
      </c>
      <c r="AV36" t="str">
        <f ca="1">IF(AND(ISNUMBER($AV$87),$B$53=1),$AV$87,HLOOKUP(INDIRECT(ADDRESS(2,COLUMN())),OFFSET($BM$2,0,0,ROW()-1,59),ROW()-1,FALSE))</f>
        <v/>
      </c>
      <c r="AW36" t="str">
        <f ca="1">IF(AND(ISNUMBER($AW$87),$B$53=1),$AW$87,HLOOKUP(INDIRECT(ADDRESS(2,COLUMN())),OFFSET($BM$2,0,0,ROW()-1,59),ROW()-1,FALSE))</f>
        <v/>
      </c>
      <c r="AX36" t="str">
        <f ca="1">IF(AND(ISNUMBER($AX$87),$B$53=1),$AX$87,HLOOKUP(INDIRECT(ADDRESS(2,COLUMN())),OFFSET($BM$2,0,0,ROW()-1,59),ROW()-1,FALSE))</f>
        <v/>
      </c>
      <c r="AY36" t="str">
        <f ca="1">IF(AND(ISNUMBER($AY$87),$B$53=1),$AY$87,HLOOKUP(INDIRECT(ADDRESS(2,COLUMN())),OFFSET($BM$2,0,0,ROW()-1,59),ROW()-1,FALSE))</f>
        <v/>
      </c>
      <c r="AZ36" t="str">
        <f ca="1">IF(AND(ISNUMBER($AZ$87),$B$53=1),$AZ$87,HLOOKUP(INDIRECT(ADDRESS(2,COLUMN())),OFFSET($BM$2,0,0,ROW()-1,59),ROW()-1,FALSE))</f>
        <v/>
      </c>
      <c r="BA36" t="str">
        <f ca="1">IF(AND(ISNUMBER($BA$87),$B$53=1),$BA$87,HLOOKUP(INDIRECT(ADDRESS(2,COLUMN())),OFFSET($BM$2,0,0,ROW()-1,59),ROW()-1,FALSE))</f>
        <v/>
      </c>
      <c r="BB36" t="str">
        <f ca="1">IF(AND(ISNUMBER($BB$87),$B$53=1),$BB$87,HLOOKUP(INDIRECT(ADDRESS(2,COLUMN())),OFFSET($BM$2,0,0,ROW()-1,59),ROW()-1,FALSE))</f>
        <v/>
      </c>
      <c r="BC36" t="str">
        <f ca="1">IF(AND(ISNUMBER($BC$87),$B$53=1),$BC$87,HLOOKUP(INDIRECT(ADDRESS(2,COLUMN())),OFFSET($BM$2,0,0,ROW()-1,59),ROW()-1,FALSE))</f>
        <v/>
      </c>
      <c r="BD36" t="str">
        <f ca="1">IF(AND(ISNUMBER($BD$87),$B$53=1),$BD$87,HLOOKUP(INDIRECT(ADDRESS(2,COLUMN())),OFFSET($BM$2,0,0,ROW()-1,59),ROW()-1,FALSE))</f>
        <v/>
      </c>
      <c r="BE36" t="str">
        <f ca="1">IF(AND(ISNUMBER($BE$87),$B$53=1),$BE$87,HLOOKUP(INDIRECT(ADDRESS(2,COLUMN())),OFFSET($BM$2,0,0,ROW()-1,59),ROW()-1,FALSE))</f>
        <v/>
      </c>
      <c r="BF36" t="str">
        <f ca="1">IF(AND(ISNUMBER($BF$87),$B$53=1),$BF$87,HLOOKUP(INDIRECT(ADDRESS(2,COLUMN())),OFFSET($BM$2,0,0,ROW()-1,59),ROW()-1,FALSE))</f>
        <v/>
      </c>
      <c r="BG36" t="str">
        <f ca="1">IF(AND(ISNUMBER($BG$87),$B$53=1),$BG$87,HLOOKUP(INDIRECT(ADDRESS(2,COLUMN())),OFFSET($BM$2,0,0,ROW()-1,59),ROW()-1,FALSE))</f>
        <v/>
      </c>
      <c r="BH36" t="str">
        <f ca="1">IF(AND(ISNUMBER($BH$87),$B$53=1),$BH$87,HLOOKUP(INDIRECT(ADDRESS(2,COLUMN())),OFFSET($BM$2,0,0,ROW()-1,59),ROW()-1,FALSE))</f>
        <v/>
      </c>
      <c r="BI36" t="str">
        <f ca="1">IF(AND(ISNUMBER($BI$87),$B$53=1),$BI$87,HLOOKUP(INDIRECT(ADDRESS(2,COLUMN())),OFFSET($BM$2,0,0,ROW()-1,59),ROW()-1,FALSE))</f>
        <v/>
      </c>
      <c r="BJ36" t="str">
        <f ca="1">IF(AND(ISNUMBER($BJ$87),$B$53=1),$BJ$87,HLOOKUP(INDIRECT(ADDRESS(2,COLUMN())),OFFSET($BM$2,0,0,ROW()-1,59),ROW()-1,FALSE))</f>
        <v/>
      </c>
      <c r="BK36" t="str">
        <f ca="1">IF(AND(ISNUMBER($BK$87),$B$53=1),$BK$87,HLOOKUP(INDIRECT(ADDRESS(2,COLUMN())),OFFSET($BM$2,0,0,ROW()-1,59),ROW()-1,FALSE))</f>
        <v/>
      </c>
      <c r="BL36" t="str">
        <f ca="1">IF(AND(ISNUMBER($BL$87),$B$53=1),$BL$87,HLOOKUP(INDIRECT(ADDRESS(2,COLUMN())),OFFSET($BM$2,0,0,ROW()-1,59),ROW()-1,FALSE))</f>
        <v/>
      </c>
      <c r="BM36">
        <f>7225.873</f>
        <v>7225.8729999999996</v>
      </c>
      <c r="BN36">
        <f>6824.413</f>
        <v>6824.4129999999996</v>
      </c>
      <c r="BO36">
        <f>4002.231</f>
        <v>4002.2310000000002</v>
      </c>
      <c r="BP36">
        <f>3408.751</f>
        <v>3408.7510000000002</v>
      </c>
      <c r="BQ36">
        <f>3288.249</f>
        <v>3288.2489999999998</v>
      </c>
      <c r="BR36">
        <f>2984.675</f>
        <v>2984.6750000000002</v>
      </c>
      <c r="BS36">
        <f>2789.557</f>
        <v>2789.5569999999998</v>
      </c>
      <c r="BT36">
        <f>2696.27</f>
        <v>2696.27</v>
      </c>
      <c r="BU36">
        <f>2284.631</f>
        <v>2284.6309999999999</v>
      </c>
      <c r="BV36">
        <f>2298.436</f>
        <v>2298.4360000000001</v>
      </c>
      <c r="BW36">
        <f>1270.017</f>
        <v>1270.0170000000001</v>
      </c>
      <c r="BX36">
        <f>1147.048</f>
        <v>1147.048</v>
      </c>
      <c r="BY36">
        <f>1214.379</f>
        <v>1214.3789999999999</v>
      </c>
      <c r="BZ36">
        <f>936.789</f>
        <v>936.78899999999999</v>
      </c>
      <c r="CA36">
        <f>954.976</f>
        <v>954.976</v>
      </c>
      <c r="CB36">
        <f>939.88</f>
        <v>939.88</v>
      </c>
      <c r="CC36">
        <f>956.661</f>
        <v>956.66099999999994</v>
      </c>
      <c r="CD36">
        <f>851.804</f>
        <v>851.80399999999997</v>
      </c>
      <c r="CE36">
        <f>769.349</f>
        <v>769.34900000000005</v>
      </c>
      <c r="CF36">
        <f>620.542</f>
        <v>620.54200000000003</v>
      </c>
      <c r="CG36">
        <f>615.219</f>
        <v>615.21900000000005</v>
      </c>
      <c r="CH36">
        <f>431.346</f>
        <v>431.346</v>
      </c>
      <c r="CI36">
        <f>405.139</f>
        <v>405.13900000000001</v>
      </c>
      <c r="CJ36">
        <f>561.792</f>
        <v>561.79200000000003</v>
      </c>
      <c r="CK36">
        <f>306.332</f>
        <v>306.33199999999999</v>
      </c>
      <c r="CL36">
        <f>50.104</f>
        <v>50.103999999999999</v>
      </c>
      <c r="CM36">
        <f>26.653</f>
        <v>26.652999999999999</v>
      </c>
      <c r="CN36">
        <f>30.167</f>
        <v>30.167000000000002</v>
      </c>
      <c r="CO36">
        <f>39.375</f>
        <v>39.375</v>
      </c>
      <c r="CP36">
        <f>57.666</f>
        <v>57.665999999999997</v>
      </c>
      <c r="CQ36">
        <f>58.171</f>
        <v>58.170999999999999</v>
      </c>
      <c r="CR36">
        <f>49.03</f>
        <v>49.03</v>
      </c>
      <c r="CS36">
        <f>36.286</f>
        <v>36.286000000000001</v>
      </c>
      <c r="CT36">
        <f>31.241</f>
        <v>31.241</v>
      </c>
      <c r="CU36">
        <f>28.405</f>
        <v>28.405000000000001</v>
      </c>
      <c r="CV36">
        <f>20.812</f>
        <v>20.812000000000001</v>
      </c>
      <c r="CW36">
        <f>18.585</f>
        <v>18.585000000000001</v>
      </c>
      <c r="CX36" t="str">
        <f>""</f>
        <v/>
      </c>
      <c r="CY36" t="str">
        <f>""</f>
        <v/>
      </c>
      <c r="CZ36" t="str">
        <f>""</f>
        <v/>
      </c>
      <c r="DA36" t="str">
        <f>""</f>
        <v/>
      </c>
      <c r="DB36" t="str">
        <f>""</f>
        <v/>
      </c>
      <c r="DC36" t="str">
        <f>""</f>
        <v/>
      </c>
      <c r="DD36" t="str">
        <f>""</f>
        <v/>
      </c>
      <c r="DE36" t="str">
        <f>""</f>
        <v/>
      </c>
      <c r="DF36" t="str">
        <f>""</f>
        <v/>
      </c>
      <c r="DG36" t="str">
        <f>""</f>
        <v/>
      </c>
      <c r="DH36" t="str">
        <f>""</f>
        <v/>
      </c>
      <c r="DI36" t="str">
        <f>""</f>
        <v/>
      </c>
      <c r="DJ36" t="str">
        <f>""</f>
        <v/>
      </c>
      <c r="DK36" t="str">
        <f>""</f>
        <v/>
      </c>
      <c r="DL36" t="str">
        <f>""</f>
        <v/>
      </c>
      <c r="DM36" t="str">
        <f>""</f>
        <v/>
      </c>
      <c r="DN36" t="str">
        <f>""</f>
        <v/>
      </c>
      <c r="DO36" t="str">
        <f>""</f>
        <v/>
      </c>
      <c r="DP36" t="str">
        <f>""</f>
        <v/>
      </c>
      <c r="DQ36" t="str">
        <f>""</f>
        <v/>
      </c>
      <c r="DR36" t="str">
        <f>""</f>
        <v/>
      </c>
      <c r="DS36" t="str">
        <f>""</f>
        <v/>
      </c>
    </row>
    <row r="37" spans="1:123" x14ac:dyDescent="0.25">
      <c r="A37" t="str">
        <f>"        Americas"</f>
        <v xml:space="preserve">        Americas</v>
      </c>
      <c r="B37" t="str">
        <f>"TSLA US Equity"</f>
        <v>TSLA US Equity</v>
      </c>
      <c r="C37" t="str">
        <f>"BI047"</f>
        <v>BI047</v>
      </c>
      <c r="D37" t="str">
        <f>"BICS_SEGMENT_DATA"</f>
        <v>BICS_SEGMENT_DATA</v>
      </c>
      <c r="E37" t="str">
        <f t="shared" si="1"/>
        <v>Dynamic</v>
      </c>
      <c r="F37" t="str">
        <f ca="1">IF(AND(ISNUMBER($F$88),$B$53=1),$F$88,HLOOKUP(INDIRECT(ADDRESS(2,COLUMN())),OFFSET($BM$2,0,0,ROW()-1,59),ROW()-1,FALSE))</f>
        <v/>
      </c>
      <c r="G37" t="str">
        <f ca="1">IF(AND(ISNUMBER($G$88),$B$53=1),$G$88,HLOOKUP(INDIRECT(ADDRESS(2,COLUMN())),OFFSET($BM$2,0,0,ROW()-1,59),ROW()-1,FALSE))</f>
        <v/>
      </c>
      <c r="H37" t="str">
        <f ca="1">IF(AND(ISNUMBER($H$88),$B$53=1),$H$88,HLOOKUP(INDIRECT(ADDRESS(2,COLUMN())),OFFSET($BM$2,0,0,ROW()-1,59),ROW()-1,FALSE))</f>
        <v/>
      </c>
      <c r="I37" t="str">
        <f ca="1">IF(AND(ISNUMBER($I$88),$B$53=1),$I$88,HLOOKUP(INDIRECT(ADDRESS(2,COLUMN())),OFFSET($BM$2,0,0,ROW()-1,59),ROW()-1,FALSE))</f>
        <v/>
      </c>
      <c r="J37" t="str">
        <f ca="1">IF(AND(ISNUMBER($J$88),$B$53=1),$J$88,HLOOKUP(INDIRECT(ADDRESS(2,COLUMN())),OFFSET($BM$2,0,0,ROW()-1,59),ROW()-1,FALSE))</f>
        <v/>
      </c>
      <c r="K37" t="str">
        <f ca="1">IF(AND(ISNUMBER($K$88),$B$53=1),$K$88,HLOOKUP(INDIRECT(ADDRESS(2,COLUMN())),OFFSET($BM$2,0,0,ROW()-1,59),ROW()-1,FALSE))</f>
        <v/>
      </c>
      <c r="L37" t="str">
        <f ca="1">IF(AND(ISNUMBER($L$88),$B$53=1),$L$88,HLOOKUP(INDIRECT(ADDRESS(2,COLUMN())),OFFSET($BM$2,0,0,ROW()-1,59),ROW()-1,FALSE))</f>
        <v/>
      </c>
      <c r="M37" t="str">
        <f ca="1">IF(AND(ISNUMBER($M$88),$B$53=1),$M$88,HLOOKUP(INDIRECT(ADDRESS(2,COLUMN())),OFFSET($BM$2,0,0,ROW()-1,59),ROW()-1,FALSE))</f>
        <v/>
      </c>
      <c r="N37" t="str">
        <f ca="1">IF(AND(ISNUMBER($N$88),$B$53=1),$N$88,HLOOKUP(INDIRECT(ADDRESS(2,COLUMN())),OFFSET($BM$2,0,0,ROW()-1,59),ROW()-1,FALSE))</f>
        <v/>
      </c>
      <c r="O37" t="str">
        <f ca="1">IF(AND(ISNUMBER($O$88),$B$53=1),$O$88,HLOOKUP(INDIRECT(ADDRESS(2,COLUMN())),OFFSET($BM$2,0,0,ROW()-1,59),ROW()-1,FALSE))</f>
        <v/>
      </c>
      <c r="P37" t="str">
        <f ca="1">IF(AND(ISNUMBER($P$88),$B$53=1),$P$88,HLOOKUP(INDIRECT(ADDRESS(2,COLUMN())),OFFSET($BM$2,0,0,ROW()-1,59),ROW()-1,FALSE))</f>
        <v/>
      </c>
      <c r="Q37" t="str">
        <f ca="1">IF(AND(ISNUMBER($Q$88),$B$53=1),$Q$88,HLOOKUP(INDIRECT(ADDRESS(2,COLUMN())),OFFSET($BM$2,0,0,ROW()-1,59),ROW()-1,FALSE))</f>
        <v/>
      </c>
      <c r="R37" t="str">
        <f ca="1">IF(AND(ISNUMBER($R$88),$B$53=1),$R$88,HLOOKUP(INDIRECT(ADDRESS(2,COLUMN())),OFFSET($BM$2,0,0,ROW()-1,59),ROW()-1,FALSE))</f>
        <v/>
      </c>
      <c r="S37" t="str">
        <f ca="1">IF(AND(ISNUMBER($S$88),$B$53=1),$S$88,HLOOKUP(INDIRECT(ADDRESS(2,COLUMN())),OFFSET($BM$2,0,0,ROW()-1,59),ROW()-1,FALSE))</f>
        <v/>
      </c>
      <c r="T37" t="str">
        <f ca="1">IF(AND(ISNUMBER($T$88),$B$53=1),$T$88,HLOOKUP(INDIRECT(ADDRESS(2,COLUMN())),OFFSET($BM$2,0,0,ROW()-1,59),ROW()-1,FALSE))</f>
        <v/>
      </c>
      <c r="U37" t="str">
        <f ca="1">IF(AND(ISNUMBER($U$88),$B$53=1),$U$88,HLOOKUP(INDIRECT(ADDRESS(2,COLUMN())),OFFSET($BM$2,0,0,ROW()-1,59),ROW()-1,FALSE))</f>
        <v/>
      </c>
      <c r="V37" t="str">
        <f ca="1">IF(AND(ISNUMBER($V$88),$B$53=1),$V$88,HLOOKUP(INDIRECT(ADDRESS(2,COLUMN())),OFFSET($BM$2,0,0,ROW()-1,59),ROW()-1,FALSE))</f>
        <v/>
      </c>
      <c r="W37" t="str">
        <f ca="1">IF(AND(ISNUMBER($W$88),$B$53=1),$W$88,HLOOKUP(INDIRECT(ADDRESS(2,COLUMN())),OFFSET($BM$2,0,0,ROW()-1,59),ROW()-1,FALSE))</f>
        <v/>
      </c>
      <c r="X37" t="str">
        <f ca="1">IF(AND(ISNUMBER($X$88),$B$53=1),$X$88,HLOOKUP(INDIRECT(ADDRESS(2,COLUMN())),OFFSET($BM$2,0,0,ROW()-1,59),ROW()-1,FALSE))</f>
        <v/>
      </c>
      <c r="Y37">
        <f ca="1">IF(AND(ISNUMBER($Y$88),$B$53=1),$Y$88,HLOOKUP(INDIRECT(ADDRESS(2,COLUMN())),OFFSET($BM$2,0,0,ROW()-1,59),ROW()-1,FALSE))</f>
        <v>288.37900000000002</v>
      </c>
      <c r="Z37" t="str">
        <f ca="1">IF(AND(ISNUMBER($Z$88),$B$53=1),$Z$88,HLOOKUP(INDIRECT(ADDRESS(2,COLUMN())),OFFSET($BM$2,0,0,ROW()-1,59),ROW()-1,FALSE))</f>
        <v/>
      </c>
      <c r="AA37">
        <f ca="1">IF(AND(ISNUMBER($AA$88),$B$53=1),$AA$88,HLOOKUP(INDIRECT(ADDRESS(2,COLUMN())),OFFSET($BM$2,0,0,ROW()-1,59),ROW()-1,FALSE))</f>
        <v>285.21100000000001</v>
      </c>
      <c r="AB37">
        <f ca="1">IF(AND(ISNUMBER($AB$88),$B$53=1),$AB$88,HLOOKUP(INDIRECT(ADDRESS(2,COLUMN())),OFFSET($BM$2,0,0,ROW()-1,59),ROW()-1,FALSE))</f>
        <v>400.137</v>
      </c>
      <c r="AC37">
        <f ca="1">IF(AND(ISNUMBER($AC$88),$B$53=1),$AC$88,HLOOKUP(INDIRECT(ADDRESS(2,COLUMN())),OFFSET($BM$2,0,0,ROW()-1,59),ROW()-1,FALSE))</f>
        <v>552.49599999999998</v>
      </c>
      <c r="AD37">
        <f ca="1">IF(AND(ISNUMBER($AD$88),$B$53=1),$AD$88,HLOOKUP(INDIRECT(ADDRESS(2,COLUMN())),OFFSET($BM$2,0,0,ROW()-1,59),ROW()-1,FALSE))</f>
        <v>288.92500000000001</v>
      </c>
      <c r="AE37">
        <f ca="1">IF(AND(ISNUMBER($AE$88),$B$53=1),$AE$88,HLOOKUP(INDIRECT(ADDRESS(2,COLUMN())),OFFSET($BM$2,0,0,ROW()-1,59),ROW()-1,FALSE))</f>
        <v>41.152999999999999</v>
      </c>
      <c r="AF37">
        <f ca="1">IF(AND(ISNUMBER($AF$88),$B$53=1),$AF$88,HLOOKUP(INDIRECT(ADDRESS(2,COLUMN())),OFFSET($BM$2,0,0,ROW()-1,59),ROW()-1,FALSE))</f>
        <v>8.1440000000000001</v>
      </c>
      <c r="AG37">
        <f ca="1">IF(AND(ISNUMBER($AG$88),$B$53=1),$AG$88,HLOOKUP(INDIRECT(ADDRESS(2,COLUMN())),OFFSET($BM$2,0,0,ROW()-1,59),ROW()-1,FALSE))</f>
        <v>17.108000000000001</v>
      </c>
      <c r="AH37">
        <f ca="1">IF(AND(ISNUMBER($AH$88),$B$53=1),$AH$88,HLOOKUP(INDIRECT(ADDRESS(2,COLUMN())),OFFSET($BM$2,0,0,ROW()-1,59),ROW()-1,FALSE))</f>
        <v>19.951000000000001</v>
      </c>
      <c r="AI37">
        <f ca="1">IF(AND(ISNUMBER($AI$88),$B$53=1),$AI$88,HLOOKUP(INDIRECT(ADDRESS(2,COLUMN())),OFFSET($BM$2,0,0,ROW()-1,59),ROW()-1,FALSE))</f>
        <v>31.356999999999999</v>
      </c>
      <c r="AJ37">
        <f ca="1">IF(AND(ISNUMBER($AJ$88),$B$53=1),$AJ$88,HLOOKUP(INDIRECT(ADDRESS(2,COLUMN())),OFFSET($BM$2,0,0,ROW()-1,59),ROW()-1,FALSE))</f>
        <v>33.515999999999998</v>
      </c>
      <c r="AK37">
        <f ca="1">IF(AND(ISNUMBER($AK$88),$B$53=1),$AK$88,HLOOKUP(INDIRECT(ADDRESS(2,COLUMN())),OFFSET($BM$2,0,0,ROW()-1,59),ROW()-1,FALSE))</f>
        <v>24.408999999999999</v>
      </c>
      <c r="AL37">
        <f ca="1">IF(AND(ISNUMBER($AL$88),$B$53=1),$AL$88,HLOOKUP(INDIRECT(ADDRESS(2,COLUMN())),OFFSET($BM$2,0,0,ROW()-1,59),ROW()-1,FALSE))</f>
        <v>14.22</v>
      </c>
      <c r="AM37">
        <f ca="1">IF(AND(ISNUMBER($AM$88),$B$53=1),$AM$88,HLOOKUP(INDIRECT(ADDRESS(2,COLUMN())),OFFSET($BM$2,0,0,ROW()-1,59),ROW()-1,FALSE))</f>
        <v>8.5860000000000003</v>
      </c>
      <c r="AN37">
        <f ca="1">IF(AND(ISNUMBER($AN$88),$B$53=1),$AN$88,HLOOKUP(INDIRECT(ADDRESS(2,COLUMN())),OFFSET($BM$2,0,0,ROW()-1,59),ROW()-1,FALSE))</f>
        <v>9.8409999999999993</v>
      </c>
      <c r="AO37">
        <f ca="1">IF(AND(ISNUMBER($AO$88),$B$53=1),$AO$88,HLOOKUP(INDIRECT(ADDRESS(2,COLUMN())),OFFSET($BM$2,0,0,ROW()-1,59),ROW()-1,FALSE))</f>
        <v>9.2189999999999994</v>
      </c>
      <c r="AP37" t="str">
        <f ca="1">IF(AND(ISNUMBER($AP$88),$B$53=1),$AP$88,HLOOKUP(INDIRECT(ADDRESS(2,COLUMN())),OFFSET($BM$2,0,0,ROW()-1,59),ROW()-1,FALSE))</f>
        <v/>
      </c>
      <c r="AQ37" t="str">
        <f ca="1">IF(AND(ISNUMBER($AQ$88),$B$53=1),$AQ$88,HLOOKUP(INDIRECT(ADDRESS(2,COLUMN())),OFFSET($BM$2,0,0,ROW()-1,59),ROW()-1,FALSE))</f>
        <v/>
      </c>
      <c r="AR37" t="str">
        <f ca="1">IF(AND(ISNUMBER($AR$88),$B$53=1),$AR$88,HLOOKUP(INDIRECT(ADDRESS(2,COLUMN())),OFFSET($BM$2,0,0,ROW()-1,59),ROW()-1,FALSE))</f>
        <v/>
      </c>
      <c r="AS37" t="str">
        <f ca="1">IF(AND(ISNUMBER($AS$88),$B$53=1),$AS$88,HLOOKUP(INDIRECT(ADDRESS(2,COLUMN())),OFFSET($BM$2,0,0,ROW()-1,59),ROW()-1,FALSE))</f>
        <v/>
      </c>
      <c r="AT37" t="str">
        <f ca="1">IF(AND(ISNUMBER($AT$88),$B$53=1),$AT$88,HLOOKUP(INDIRECT(ADDRESS(2,COLUMN())),OFFSET($BM$2,0,0,ROW()-1,59),ROW()-1,FALSE))</f>
        <v/>
      </c>
      <c r="AU37" t="str">
        <f ca="1">IF(AND(ISNUMBER($AU$88),$B$53=1),$AU$88,HLOOKUP(INDIRECT(ADDRESS(2,COLUMN())),OFFSET($BM$2,0,0,ROW()-1,59),ROW()-1,FALSE))</f>
        <v/>
      </c>
      <c r="AV37" t="str">
        <f ca="1">IF(AND(ISNUMBER($AV$88),$B$53=1),$AV$88,HLOOKUP(INDIRECT(ADDRESS(2,COLUMN())),OFFSET($BM$2,0,0,ROW()-1,59),ROW()-1,FALSE))</f>
        <v/>
      </c>
      <c r="AW37" t="str">
        <f ca="1">IF(AND(ISNUMBER($AW$88),$B$53=1),$AW$88,HLOOKUP(INDIRECT(ADDRESS(2,COLUMN())),OFFSET($BM$2,0,0,ROW()-1,59),ROW()-1,FALSE))</f>
        <v/>
      </c>
      <c r="AX37" t="str">
        <f ca="1">IF(AND(ISNUMBER($AX$88),$B$53=1),$AX$88,HLOOKUP(INDIRECT(ADDRESS(2,COLUMN())),OFFSET($BM$2,0,0,ROW()-1,59),ROW()-1,FALSE))</f>
        <v/>
      </c>
      <c r="AY37" t="str">
        <f ca="1">IF(AND(ISNUMBER($AY$88),$B$53=1),$AY$88,HLOOKUP(INDIRECT(ADDRESS(2,COLUMN())),OFFSET($BM$2,0,0,ROW()-1,59),ROW()-1,FALSE))</f>
        <v/>
      </c>
      <c r="AZ37" t="str">
        <f ca="1">IF(AND(ISNUMBER($AZ$88),$B$53=1),$AZ$88,HLOOKUP(INDIRECT(ADDRESS(2,COLUMN())),OFFSET($BM$2,0,0,ROW()-1,59),ROW()-1,FALSE))</f>
        <v/>
      </c>
      <c r="BA37" t="str">
        <f ca="1">IF(AND(ISNUMBER($BA$88),$B$53=1),$BA$88,HLOOKUP(INDIRECT(ADDRESS(2,COLUMN())),OFFSET($BM$2,0,0,ROW()-1,59),ROW()-1,FALSE))</f>
        <v/>
      </c>
      <c r="BB37" t="str">
        <f ca="1">IF(AND(ISNUMBER($BB$88),$B$53=1),$BB$88,HLOOKUP(INDIRECT(ADDRESS(2,COLUMN())),OFFSET($BM$2,0,0,ROW()-1,59),ROW()-1,FALSE))</f>
        <v/>
      </c>
      <c r="BC37" t="str">
        <f ca="1">IF(AND(ISNUMBER($BC$88),$B$53=1),$BC$88,HLOOKUP(INDIRECT(ADDRESS(2,COLUMN())),OFFSET($BM$2,0,0,ROW()-1,59),ROW()-1,FALSE))</f>
        <v/>
      </c>
      <c r="BD37" t="str">
        <f ca="1">IF(AND(ISNUMBER($BD$88),$B$53=1),$BD$88,HLOOKUP(INDIRECT(ADDRESS(2,COLUMN())),OFFSET($BM$2,0,0,ROW()-1,59),ROW()-1,FALSE))</f>
        <v/>
      </c>
      <c r="BE37" t="str">
        <f ca="1">IF(AND(ISNUMBER($BE$88),$B$53=1),$BE$88,HLOOKUP(INDIRECT(ADDRESS(2,COLUMN())),OFFSET($BM$2,0,0,ROW()-1,59),ROW()-1,FALSE))</f>
        <v/>
      </c>
      <c r="BF37" t="str">
        <f ca="1">IF(AND(ISNUMBER($BF$88),$B$53=1),$BF$88,HLOOKUP(INDIRECT(ADDRESS(2,COLUMN())),OFFSET($BM$2,0,0,ROW()-1,59),ROW()-1,FALSE))</f>
        <v/>
      </c>
      <c r="BG37" t="str">
        <f ca="1">IF(AND(ISNUMBER($BG$88),$B$53=1),$BG$88,HLOOKUP(INDIRECT(ADDRESS(2,COLUMN())),OFFSET($BM$2,0,0,ROW()-1,59),ROW()-1,FALSE))</f>
        <v/>
      </c>
      <c r="BH37" t="str">
        <f ca="1">IF(AND(ISNUMBER($BH$88),$B$53=1),$BH$88,HLOOKUP(INDIRECT(ADDRESS(2,COLUMN())),OFFSET($BM$2,0,0,ROW()-1,59),ROW()-1,FALSE))</f>
        <v/>
      </c>
      <c r="BI37" t="str">
        <f ca="1">IF(AND(ISNUMBER($BI$88),$B$53=1),$BI$88,HLOOKUP(INDIRECT(ADDRESS(2,COLUMN())),OFFSET($BM$2,0,0,ROW()-1,59),ROW()-1,FALSE))</f>
        <v/>
      </c>
      <c r="BJ37" t="str">
        <f ca="1">IF(AND(ISNUMBER($BJ$88),$B$53=1),$BJ$88,HLOOKUP(INDIRECT(ADDRESS(2,COLUMN())),OFFSET($BM$2,0,0,ROW()-1,59),ROW()-1,FALSE))</f>
        <v/>
      </c>
      <c r="BK37" t="str">
        <f ca="1">IF(AND(ISNUMBER($BK$88),$B$53=1),$BK$88,HLOOKUP(INDIRECT(ADDRESS(2,COLUMN())),OFFSET($BM$2,0,0,ROW()-1,59),ROW()-1,FALSE))</f>
        <v/>
      </c>
      <c r="BL37" t="str">
        <f ca="1">IF(AND(ISNUMBER($BL$88),$B$53=1),$BL$88,HLOOKUP(INDIRECT(ADDRESS(2,COLUMN())),OFFSET($BM$2,0,0,ROW()-1,59),ROW()-1,FALSE))</f>
        <v/>
      </c>
      <c r="BM37" t="str">
        <f>""</f>
        <v/>
      </c>
      <c r="BN37" t="str">
        <f>""</f>
        <v/>
      </c>
      <c r="BO37" t="str">
        <f>""</f>
        <v/>
      </c>
      <c r="BP37" t="str">
        <f>""</f>
        <v/>
      </c>
      <c r="BQ37" t="str">
        <f>""</f>
        <v/>
      </c>
      <c r="BR37" t="str">
        <f>""</f>
        <v/>
      </c>
      <c r="BS37" t="str">
        <f>""</f>
        <v/>
      </c>
      <c r="BT37" t="str">
        <f>""</f>
        <v/>
      </c>
      <c r="BU37" t="str">
        <f>""</f>
        <v/>
      </c>
      <c r="BV37" t="str">
        <f>""</f>
        <v/>
      </c>
      <c r="BW37" t="str">
        <f>""</f>
        <v/>
      </c>
      <c r="BX37" t="str">
        <f>""</f>
        <v/>
      </c>
      <c r="BY37" t="str">
        <f>""</f>
        <v/>
      </c>
      <c r="BZ37" t="str">
        <f>""</f>
        <v/>
      </c>
      <c r="CA37" t="str">
        <f>""</f>
        <v/>
      </c>
      <c r="CB37" t="str">
        <f>""</f>
        <v/>
      </c>
      <c r="CC37" t="str">
        <f>""</f>
        <v/>
      </c>
      <c r="CD37" t="str">
        <f>""</f>
        <v/>
      </c>
      <c r="CE37" t="str">
        <f>""</f>
        <v/>
      </c>
      <c r="CF37">
        <f>288.379</f>
        <v>288.37900000000002</v>
      </c>
      <c r="CG37" t="str">
        <f>""</f>
        <v/>
      </c>
      <c r="CH37">
        <f>285.211</f>
        <v>285.21100000000001</v>
      </c>
      <c r="CI37">
        <f>400.137</f>
        <v>400.137</v>
      </c>
      <c r="CJ37">
        <f>552.496</f>
        <v>552.49599999999998</v>
      </c>
      <c r="CK37">
        <f>288.925</f>
        <v>288.92500000000001</v>
      </c>
      <c r="CL37">
        <f>41.153</f>
        <v>41.152999999999999</v>
      </c>
      <c r="CM37">
        <f>8.144</f>
        <v>8.1440000000000001</v>
      </c>
      <c r="CN37">
        <f>17.108</f>
        <v>17.108000000000001</v>
      </c>
      <c r="CO37">
        <f>19.951</f>
        <v>19.951000000000001</v>
      </c>
      <c r="CP37">
        <f>31.357</f>
        <v>31.356999999999999</v>
      </c>
      <c r="CQ37">
        <f>33.516</f>
        <v>33.515999999999998</v>
      </c>
      <c r="CR37">
        <f>24.409</f>
        <v>24.408999999999999</v>
      </c>
      <c r="CS37">
        <f>14.22</f>
        <v>14.22</v>
      </c>
      <c r="CT37">
        <f>8.586</f>
        <v>8.5860000000000003</v>
      </c>
      <c r="CU37">
        <f>9.841</f>
        <v>9.8409999999999993</v>
      </c>
      <c r="CV37">
        <f>9.219</f>
        <v>9.2189999999999994</v>
      </c>
      <c r="CW37" t="str">
        <f>""</f>
        <v/>
      </c>
      <c r="CX37" t="str">
        <f>""</f>
        <v/>
      </c>
      <c r="CY37" t="str">
        <f>""</f>
        <v/>
      </c>
      <c r="CZ37" t="str">
        <f>""</f>
        <v/>
      </c>
      <c r="DA37" t="str">
        <f>""</f>
        <v/>
      </c>
      <c r="DB37" t="str">
        <f>""</f>
        <v/>
      </c>
      <c r="DC37" t="str">
        <f>""</f>
        <v/>
      </c>
      <c r="DD37" t="str">
        <f>""</f>
        <v/>
      </c>
      <c r="DE37" t="str">
        <f>""</f>
        <v/>
      </c>
      <c r="DF37" t="str">
        <f>""</f>
        <v/>
      </c>
      <c r="DG37" t="str">
        <f>""</f>
        <v/>
      </c>
      <c r="DH37" t="str">
        <f>""</f>
        <v/>
      </c>
      <c r="DI37" t="str">
        <f>""</f>
        <v/>
      </c>
      <c r="DJ37" t="str">
        <f>""</f>
        <v/>
      </c>
      <c r="DK37" t="str">
        <f>""</f>
        <v/>
      </c>
      <c r="DL37" t="str">
        <f>""</f>
        <v/>
      </c>
      <c r="DM37" t="str">
        <f>""</f>
        <v/>
      </c>
      <c r="DN37" t="str">
        <f>""</f>
        <v/>
      </c>
      <c r="DO37" t="str">
        <f>""</f>
        <v/>
      </c>
      <c r="DP37" t="str">
        <f>""</f>
        <v/>
      </c>
      <c r="DQ37" t="str">
        <f>""</f>
        <v/>
      </c>
      <c r="DR37" t="str">
        <f>""</f>
        <v/>
      </c>
      <c r="DS37" t="str">
        <f>""</f>
        <v/>
      </c>
    </row>
    <row r="38" spans="1:123" x14ac:dyDescent="0.25">
      <c r="BM38" t="str">
        <f>""</f>
        <v/>
      </c>
      <c r="BN38" t="str">
        <f>""</f>
        <v/>
      </c>
      <c r="BO38" t="str">
        <f>""</f>
        <v/>
      </c>
      <c r="BP38" t="str">
        <f>""</f>
        <v/>
      </c>
      <c r="BQ38" t="str">
        <f>""</f>
        <v/>
      </c>
      <c r="BR38" t="str">
        <f>""</f>
        <v/>
      </c>
      <c r="BS38" t="str">
        <f>""</f>
        <v/>
      </c>
      <c r="BT38" t="str">
        <f>""</f>
        <v/>
      </c>
      <c r="BU38" t="str">
        <f>""</f>
        <v/>
      </c>
      <c r="BV38" t="str">
        <f>""</f>
        <v/>
      </c>
      <c r="BW38" t="str">
        <f>""</f>
        <v/>
      </c>
      <c r="BX38" t="str">
        <f>""</f>
        <v/>
      </c>
      <c r="BY38" t="str">
        <f>""</f>
        <v/>
      </c>
      <c r="BZ38" t="str">
        <f>""</f>
        <v/>
      </c>
      <c r="CA38" t="str">
        <f>""</f>
        <v/>
      </c>
      <c r="CB38" t="str">
        <f>""</f>
        <v/>
      </c>
      <c r="CC38" t="str">
        <f>""</f>
        <v/>
      </c>
      <c r="CD38" t="str">
        <f>""</f>
        <v/>
      </c>
      <c r="CE38" t="str">
        <f>""</f>
        <v/>
      </c>
      <c r="CF38" t="str">
        <f>""</f>
        <v/>
      </c>
      <c r="CG38" t="str">
        <f>""</f>
        <v/>
      </c>
      <c r="CH38" t="str">
        <f>""</f>
        <v/>
      </c>
      <c r="CI38" t="str">
        <f>""</f>
        <v/>
      </c>
      <c r="CJ38" t="str">
        <f>""</f>
        <v/>
      </c>
      <c r="CK38" t="str">
        <f>""</f>
        <v/>
      </c>
      <c r="CL38" t="str">
        <f>""</f>
        <v/>
      </c>
      <c r="CM38" t="str">
        <f>""</f>
        <v/>
      </c>
      <c r="CN38" t="str">
        <f>""</f>
        <v/>
      </c>
      <c r="CO38" t="str">
        <f>""</f>
        <v/>
      </c>
      <c r="CP38" t="str">
        <f>""</f>
        <v/>
      </c>
      <c r="CQ38" t="str">
        <f>""</f>
        <v/>
      </c>
      <c r="CR38" t="str">
        <f>""</f>
        <v/>
      </c>
      <c r="CS38" t="str">
        <f>""</f>
        <v/>
      </c>
      <c r="CT38" t="str">
        <f>""</f>
        <v/>
      </c>
      <c r="CU38" t="str">
        <f>""</f>
        <v/>
      </c>
      <c r="CV38" t="str">
        <f>""</f>
        <v/>
      </c>
      <c r="CW38" t="str">
        <f>""</f>
        <v/>
      </c>
      <c r="CX38" t="str">
        <f>""</f>
        <v/>
      </c>
      <c r="CY38" t="str">
        <f>""</f>
        <v/>
      </c>
      <c r="CZ38" t="str">
        <f>""</f>
        <v/>
      </c>
      <c r="DA38" t="str">
        <f>""</f>
        <v/>
      </c>
      <c r="DB38" t="str">
        <f>""</f>
        <v/>
      </c>
      <c r="DC38" t="str">
        <f>""</f>
        <v/>
      </c>
      <c r="DD38" t="str">
        <f>""</f>
        <v/>
      </c>
      <c r="DE38" t="str">
        <f>""</f>
        <v/>
      </c>
      <c r="DF38" t="str">
        <f>""</f>
        <v/>
      </c>
      <c r="DG38" t="str">
        <f>""</f>
        <v/>
      </c>
      <c r="DH38" t="str">
        <f>""</f>
        <v/>
      </c>
      <c r="DI38" t="str">
        <f>""</f>
        <v/>
      </c>
      <c r="DJ38" t="str">
        <f>""</f>
        <v/>
      </c>
      <c r="DK38" t="str">
        <f>""</f>
        <v/>
      </c>
      <c r="DL38" t="str">
        <f>""</f>
        <v/>
      </c>
      <c r="DM38" t="str">
        <f>""</f>
        <v/>
      </c>
      <c r="DN38" t="str">
        <f>""</f>
        <v/>
      </c>
      <c r="DO38" t="str">
        <f>""</f>
        <v/>
      </c>
      <c r="DP38" t="str">
        <f>""</f>
        <v/>
      </c>
      <c r="DQ38" t="str">
        <f>""</f>
        <v/>
      </c>
      <c r="DR38" t="str">
        <f>""</f>
        <v/>
      </c>
      <c r="DS38" t="str">
        <f>""</f>
        <v/>
      </c>
    </row>
    <row r="39" spans="1:123" x14ac:dyDescent="0.25">
      <c r="BM39" t="str">
        <f>""</f>
        <v/>
      </c>
      <c r="BN39" t="str">
        <f>""</f>
        <v/>
      </c>
      <c r="BO39" t="str">
        <f>""</f>
        <v/>
      </c>
      <c r="BP39" t="str">
        <f>""</f>
        <v/>
      </c>
      <c r="BQ39" t="str">
        <f>""</f>
        <v/>
      </c>
      <c r="BR39" t="str">
        <f>""</f>
        <v/>
      </c>
      <c r="BS39" t="str">
        <f>""</f>
        <v/>
      </c>
      <c r="BT39" t="str">
        <f>""</f>
        <v/>
      </c>
      <c r="BU39" t="str">
        <f>""</f>
        <v/>
      </c>
      <c r="BV39" t="str">
        <f>""</f>
        <v/>
      </c>
      <c r="BW39" t="str">
        <f>""</f>
        <v/>
      </c>
      <c r="BX39" t="str">
        <f>""</f>
        <v/>
      </c>
      <c r="BY39" t="str">
        <f>""</f>
        <v/>
      </c>
      <c r="BZ39" t="str">
        <f>""</f>
        <v/>
      </c>
      <c r="CA39" t="str">
        <f>""</f>
        <v/>
      </c>
      <c r="CB39" t="str">
        <f>""</f>
        <v/>
      </c>
      <c r="CC39" t="str">
        <f>""</f>
        <v/>
      </c>
      <c r="CD39" t="str">
        <f>""</f>
        <v/>
      </c>
      <c r="CE39" t="str">
        <f>""</f>
        <v/>
      </c>
      <c r="CF39" t="str">
        <f>""</f>
        <v/>
      </c>
      <c r="CG39" t="str">
        <f>""</f>
        <v/>
      </c>
      <c r="CH39" t="str">
        <f>""</f>
        <v/>
      </c>
      <c r="CI39" t="str">
        <f>""</f>
        <v/>
      </c>
      <c r="CJ39" t="str">
        <f>""</f>
        <v/>
      </c>
      <c r="CK39" t="str">
        <f>""</f>
        <v/>
      </c>
      <c r="CL39" t="str">
        <f>""</f>
        <v/>
      </c>
      <c r="CM39" t="str">
        <f>""</f>
        <v/>
      </c>
      <c r="CN39" t="str">
        <f>""</f>
        <v/>
      </c>
      <c r="CO39" t="str">
        <f>""</f>
        <v/>
      </c>
      <c r="CP39" t="str">
        <f>""</f>
        <v/>
      </c>
      <c r="CQ39" t="str">
        <f>""</f>
        <v/>
      </c>
      <c r="CR39" t="str">
        <f>""</f>
        <v/>
      </c>
      <c r="CS39" t="str">
        <f>""</f>
        <v/>
      </c>
      <c r="CT39" t="str">
        <f>""</f>
        <v/>
      </c>
      <c r="CU39" t="str">
        <f>""</f>
        <v/>
      </c>
      <c r="CV39" t="str">
        <f>""</f>
        <v/>
      </c>
      <c r="CW39" t="str">
        <f>""</f>
        <v/>
      </c>
      <c r="CX39" t="str">
        <f>""</f>
        <v/>
      </c>
      <c r="CY39" t="str">
        <f>""</f>
        <v/>
      </c>
      <c r="CZ39" t="str">
        <f>""</f>
        <v/>
      </c>
      <c r="DA39" t="str">
        <f>""</f>
        <v/>
      </c>
      <c r="DB39" t="str">
        <f>""</f>
        <v/>
      </c>
      <c r="DC39" t="str">
        <f>""</f>
        <v/>
      </c>
      <c r="DD39" t="str">
        <f>""</f>
        <v/>
      </c>
      <c r="DE39" t="str">
        <f>""</f>
        <v/>
      </c>
      <c r="DF39" t="str">
        <f>""</f>
        <v/>
      </c>
      <c r="DG39" t="str">
        <f>""</f>
        <v/>
      </c>
      <c r="DH39" t="str">
        <f>""</f>
        <v/>
      </c>
      <c r="DI39" t="str">
        <f>""</f>
        <v/>
      </c>
      <c r="DJ39" t="str">
        <f>""</f>
        <v/>
      </c>
      <c r="DK39" t="str">
        <f>""</f>
        <v/>
      </c>
      <c r="DL39" t="str">
        <f>""</f>
        <v/>
      </c>
      <c r="DM39" t="str">
        <f>""</f>
        <v/>
      </c>
      <c r="DN39" t="str">
        <f>""</f>
        <v/>
      </c>
      <c r="DO39" t="str">
        <f>""</f>
        <v/>
      </c>
      <c r="DP39" t="str">
        <f>""</f>
        <v/>
      </c>
      <c r="DQ39" t="str">
        <f>""</f>
        <v/>
      </c>
      <c r="DR39" t="str">
        <f>""</f>
        <v/>
      </c>
      <c r="DS39" t="str">
        <f>""</f>
        <v/>
      </c>
    </row>
    <row r="40" spans="1:123" x14ac:dyDescent="0.25">
      <c r="BM40" t="str">
        <f>""</f>
        <v/>
      </c>
      <c r="BN40" t="str">
        <f>""</f>
        <v/>
      </c>
      <c r="BO40" t="str">
        <f>""</f>
        <v/>
      </c>
      <c r="BP40" t="str">
        <f>""</f>
        <v/>
      </c>
      <c r="BQ40" t="str">
        <f>""</f>
        <v/>
      </c>
      <c r="BR40" t="str">
        <f>""</f>
        <v/>
      </c>
      <c r="BS40" t="str">
        <f>""</f>
        <v/>
      </c>
      <c r="BT40" t="str">
        <f>""</f>
        <v/>
      </c>
      <c r="BU40" t="str">
        <f>""</f>
        <v/>
      </c>
      <c r="BV40" t="str">
        <f>""</f>
        <v/>
      </c>
      <c r="BW40" t="str">
        <f>""</f>
        <v/>
      </c>
      <c r="BX40" t="str">
        <f>""</f>
        <v/>
      </c>
      <c r="BY40" t="str">
        <f>""</f>
        <v/>
      </c>
      <c r="BZ40" t="str">
        <f>""</f>
        <v/>
      </c>
      <c r="CA40" t="str">
        <f>""</f>
        <v/>
      </c>
      <c r="CB40" t="str">
        <f>""</f>
        <v/>
      </c>
      <c r="CC40" t="str">
        <f>""</f>
        <v/>
      </c>
      <c r="CD40" t="str">
        <f>""</f>
        <v/>
      </c>
      <c r="CE40" t="str">
        <f>""</f>
        <v/>
      </c>
      <c r="CF40" t="str">
        <f>""</f>
        <v/>
      </c>
      <c r="CG40" t="str">
        <f>""</f>
        <v/>
      </c>
      <c r="CH40" t="str">
        <f>""</f>
        <v/>
      </c>
      <c r="CI40" t="str">
        <f>""</f>
        <v/>
      </c>
      <c r="CJ40" t="str">
        <f>""</f>
        <v/>
      </c>
      <c r="CK40" t="str">
        <f>""</f>
        <v/>
      </c>
      <c r="CL40" t="str">
        <f>""</f>
        <v/>
      </c>
      <c r="CM40" t="str">
        <f>""</f>
        <v/>
      </c>
      <c r="CN40" t="str">
        <f>""</f>
        <v/>
      </c>
      <c r="CO40" t="str">
        <f>""</f>
        <v/>
      </c>
      <c r="CP40" t="str">
        <f>""</f>
        <v/>
      </c>
      <c r="CQ40" t="str">
        <f>""</f>
        <v/>
      </c>
      <c r="CR40" t="str">
        <f>""</f>
        <v/>
      </c>
      <c r="CS40" t="str">
        <f>""</f>
        <v/>
      </c>
      <c r="CT40" t="str">
        <f>""</f>
        <v/>
      </c>
      <c r="CU40" t="str">
        <f>""</f>
        <v/>
      </c>
      <c r="CV40" t="str">
        <f>""</f>
        <v/>
      </c>
      <c r="CW40" t="str">
        <f>""</f>
        <v/>
      </c>
      <c r="CX40" t="str">
        <f>""</f>
        <v/>
      </c>
      <c r="CY40" t="str">
        <f>""</f>
        <v/>
      </c>
      <c r="CZ40" t="str">
        <f>""</f>
        <v/>
      </c>
      <c r="DA40" t="str">
        <f>""</f>
        <v/>
      </c>
      <c r="DB40" t="str">
        <f>""</f>
        <v/>
      </c>
      <c r="DC40" t="str">
        <f>""</f>
        <v/>
      </c>
      <c r="DD40" t="str">
        <f>""</f>
        <v/>
      </c>
      <c r="DE40" t="str">
        <f>""</f>
        <v/>
      </c>
      <c r="DF40" t="str">
        <f>""</f>
        <v/>
      </c>
      <c r="DG40" t="str">
        <f>""</f>
        <v/>
      </c>
      <c r="DH40" t="str">
        <f>""</f>
        <v/>
      </c>
      <c r="DI40" t="str">
        <f>""</f>
        <v/>
      </c>
      <c r="DJ40" t="str">
        <f>""</f>
        <v/>
      </c>
      <c r="DK40" t="str">
        <f>""</f>
        <v/>
      </c>
      <c r="DL40" t="str">
        <f>""</f>
        <v/>
      </c>
      <c r="DM40" t="str">
        <f>""</f>
        <v/>
      </c>
      <c r="DN40" t="str">
        <f>""</f>
        <v/>
      </c>
      <c r="DO40" t="str">
        <f>""</f>
        <v/>
      </c>
      <c r="DP40" t="str">
        <f>""</f>
        <v/>
      </c>
      <c r="DQ40" t="str">
        <f>""</f>
        <v/>
      </c>
      <c r="DR40" t="str">
        <f>""</f>
        <v/>
      </c>
      <c r="DS40" t="str">
        <f>""</f>
        <v/>
      </c>
    </row>
    <row r="41" spans="1:123" x14ac:dyDescent="0.25">
      <c r="BM41" t="str">
        <f>""</f>
        <v/>
      </c>
      <c r="BN41" t="str">
        <f>""</f>
        <v/>
      </c>
      <c r="BO41" t="str">
        <f>""</f>
        <v/>
      </c>
      <c r="BP41" t="str">
        <f>""</f>
        <v/>
      </c>
      <c r="BQ41" t="str">
        <f>""</f>
        <v/>
      </c>
      <c r="BR41" t="str">
        <f>""</f>
        <v/>
      </c>
      <c r="BS41" t="str">
        <f>""</f>
        <v/>
      </c>
      <c r="BT41" t="str">
        <f>""</f>
        <v/>
      </c>
      <c r="BU41" t="str">
        <f>""</f>
        <v/>
      </c>
      <c r="BV41" t="str">
        <f>""</f>
        <v/>
      </c>
      <c r="BW41" t="str">
        <f>""</f>
        <v/>
      </c>
      <c r="BX41" t="str">
        <f>""</f>
        <v/>
      </c>
      <c r="BY41" t="str">
        <f>""</f>
        <v/>
      </c>
      <c r="BZ41" t="str">
        <f>""</f>
        <v/>
      </c>
      <c r="CA41" t="str">
        <f>""</f>
        <v/>
      </c>
      <c r="CB41" t="str">
        <f>""</f>
        <v/>
      </c>
      <c r="CC41" t="str">
        <f>""</f>
        <v/>
      </c>
      <c r="CD41" t="str">
        <f>""</f>
        <v/>
      </c>
      <c r="CE41" t="str">
        <f>""</f>
        <v/>
      </c>
      <c r="CF41" t="str">
        <f>""</f>
        <v/>
      </c>
      <c r="CG41" t="str">
        <f>""</f>
        <v/>
      </c>
      <c r="CH41" t="str">
        <f>""</f>
        <v/>
      </c>
      <c r="CI41" t="str">
        <f>""</f>
        <v/>
      </c>
      <c r="CJ41" t="str">
        <f>""</f>
        <v/>
      </c>
      <c r="CK41" t="str">
        <f>""</f>
        <v/>
      </c>
      <c r="CL41" t="str">
        <f>""</f>
        <v/>
      </c>
      <c r="CM41" t="str">
        <f>""</f>
        <v/>
      </c>
      <c r="CN41" t="str">
        <f>""</f>
        <v/>
      </c>
      <c r="CO41" t="str">
        <f>""</f>
        <v/>
      </c>
      <c r="CP41" t="str">
        <f>""</f>
        <v/>
      </c>
      <c r="CQ41" t="str">
        <f>""</f>
        <v/>
      </c>
      <c r="CR41" t="str">
        <f>""</f>
        <v/>
      </c>
      <c r="CS41" t="str">
        <f>""</f>
        <v/>
      </c>
      <c r="CT41" t="str">
        <f>""</f>
        <v/>
      </c>
      <c r="CU41" t="str">
        <f>""</f>
        <v/>
      </c>
      <c r="CV41" t="str">
        <f>""</f>
        <v/>
      </c>
      <c r="CW41" t="str">
        <f>""</f>
        <v/>
      </c>
      <c r="CX41" t="str">
        <f>""</f>
        <v/>
      </c>
      <c r="CY41" t="str">
        <f>""</f>
        <v/>
      </c>
      <c r="CZ41" t="str">
        <f>""</f>
        <v/>
      </c>
      <c r="DA41" t="str">
        <f>""</f>
        <v/>
      </c>
      <c r="DB41" t="str">
        <f>""</f>
        <v/>
      </c>
      <c r="DC41" t="str">
        <f>""</f>
        <v/>
      </c>
      <c r="DD41" t="str">
        <f>""</f>
        <v/>
      </c>
      <c r="DE41" t="str">
        <f>""</f>
        <v/>
      </c>
      <c r="DF41" t="str">
        <f>""</f>
        <v/>
      </c>
      <c r="DG41" t="str">
        <f>""</f>
        <v/>
      </c>
      <c r="DH41" t="str">
        <f>""</f>
        <v/>
      </c>
      <c r="DI41" t="str">
        <f>""</f>
        <v/>
      </c>
      <c r="DJ41" t="str">
        <f>""</f>
        <v/>
      </c>
      <c r="DK41" t="str">
        <f>""</f>
        <v/>
      </c>
      <c r="DL41" t="str">
        <f>""</f>
        <v/>
      </c>
      <c r="DM41" t="str">
        <f>""</f>
        <v/>
      </c>
      <c r="DN41" t="str">
        <f>""</f>
        <v/>
      </c>
      <c r="DO41" t="str">
        <f>""</f>
        <v/>
      </c>
      <c r="DP41" t="str">
        <f>""</f>
        <v/>
      </c>
      <c r="DQ41" t="str">
        <f>""</f>
        <v/>
      </c>
      <c r="DR41" t="str">
        <f>""</f>
        <v/>
      </c>
      <c r="DS41" t="str">
        <f>""</f>
        <v/>
      </c>
    </row>
    <row r="42" spans="1:123" x14ac:dyDescent="0.25">
      <c r="BM42" t="str">
        <f>""</f>
        <v/>
      </c>
      <c r="BN42" t="str">
        <f>""</f>
        <v/>
      </c>
      <c r="BO42" t="str">
        <f>""</f>
        <v/>
      </c>
      <c r="BP42" t="str">
        <f>""</f>
        <v/>
      </c>
      <c r="BQ42" t="str">
        <f>""</f>
        <v/>
      </c>
      <c r="BR42" t="str">
        <f>""</f>
        <v/>
      </c>
      <c r="BS42" t="str">
        <f>""</f>
        <v/>
      </c>
      <c r="BT42" t="str">
        <f>""</f>
        <v/>
      </c>
      <c r="BU42" t="str">
        <f>""</f>
        <v/>
      </c>
      <c r="BV42" t="str">
        <f>""</f>
        <v/>
      </c>
      <c r="BW42" t="str">
        <f>""</f>
        <v/>
      </c>
      <c r="BX42" t="str">
        <f>""</f>
        <v/>
      </c>
      <c r="BY42" t="str">
        <f>""</f>
        <v/>
      </c>
      <c r="BZ42" t="str">
        <f>""</f>
        <v/>
      </c>
      <c r="CA42" t="str">
        <f>""</f>
        <v/>
      </c>
      <c r="CB42" t="str">
        <f>""</f>
        <v/>
      </c>
      <c r="CC42" t="str">
        <f>""</f>
        <v/>
      </c>
      <c r="CD42" t="str">
        <f>""</f>
        <v/>
      </c>
      <c r="CE42" t="str">
        <f>""</f>
        <v/>
      </c>
      <c r="CF42" t="str">
        <f>""</f>
        <v/>
      </c>
      <c r="CG42" t="str">
        <f>""</f>
        <v/>
      </c>
      <c r="CH42" t="str">
        <f>""</f>
        <v/>
      </c>
      <c r="CI42" t="str">
        <f>""</f>
        <v/>
      </c>
      <c r="CJ42" t="str">
        <f>""</f>
        <v/>
      </c>
      <c r="CK42" t="str">
        <f>""</f>
        <v/>
      </c>
      <c r="CL42" t="str">
        <f>""</f>
        <v/>
      </c>
      <c r="CM42" t="str">
        <f>""</f>
        <v/>
      </c>
      <c r="CN42" t="str">
        <f>""</f>
        <v/>
      </c>
      <c r="CO42" t="str">
        <f>""</f>
        <v/>
      </c>
      <c r="CP42" t="str">
        <f>""</f>
        <v/>
      </c>
      <c r="CQ42" t="str">
        <f>""</f>
        <v/>
      </c>
      <c r="CR42" t="str">
        <f>""</f>
        <v/>
      </c>
      <c r="CS42" t="str">
        <f>""</f>
        <v/>
      </c>
      <c r="CT42" t="str">
        <f>""</f>
        <v/>
      </c>
      <c r="CU42" t="str">
        <f>""</f>
        <v/>
      </c>
      <c r="CV42" t="str">
        <f>""</f>
        <v/>
      </c>
      <c r="CW42" t="str">
        <f>""</f>
        <v/>
      </c>
      <c r="CX42" t="str">
        <f>""</f>
        <v/>
      </c>
      <c r="CY42" t="str">
        <f>""</f>
        <v/>
      </c>
      <c r="CZ42" t="str">
        <f>""</f>
        <v/>
      </c>
      <c r="DA42" t="str">
        <f>""</f>
        <v/>
      </c>
      <c r="DB42" t="str">
        <f>""</f>
        <v/>
      </c>
      <c r="DC42" t="str">
        <f>""</f>
        <v/>
      </c>
      <c r="DD42" t="str">
        <f>""</f>
        <v/>
      </c>
      <c r="DE42" t="str">
        <f>""</f>
        <v/>
      </c>
      <c r="DF42" t="str">
        <f>""</f>
        <v/>
      </c>
      <c r="DG42" t="str">
        <f>""</f>
        <v/>
      </c>
      <c r="DH42" t="str">
        <f>""</f>
        <v/>
      </c>
      <c r="DI42" t="str">
        <f>""</f>
        <v/>
      </c>
      <c r="DJ42" t="str">
        <f>""</f>
        <v/>
      </c>
      <c r="DK42" t="str">
        <f>""</f>
        <v/>
      </c>
      <c r="DL42" t="str">
        <f>""</f>
        <v/>
      </c>
      <c r="DM42" t="str">
        <f>""</f>
        <v/>
      </c>
      <c r="DN42" t="str">
        <f>""</f>
        <v/>
      </c>
      <c r="DO42" t="str">
        <f>""</f>
        <v/>
      </c>
      <c r="DP42" t="str">
        <f>""</f>
        <v/>
      </c>
      <c r="DQ42" t="str">
        <f>""</f>
        <v/>
      </c>
      <c r="DR42" t="str">
        <f>""</f>
        <v/>
      </c>
      <c r="DS42" t="str">
        <f>""</f>
        <v/>
      </c>
    </row>
    <row r="43" spans="1:123" x14ac:dyDescent="0.25">
      <c r="BM43" t="str">
        <f>""</f>
        <v/>
      </c>
      <c r="BN43" t="str">
        <f>""</f>
        <v/>
      </c>
      <c r="BO43" t="str">
        <f>""</f>
        <v/>
      </c>
      <c r="BP43" t="str">
        <f>""</f>
        <v/>
      </c>
      <c r="BQ43" t="str">
        <f>""</f>
        <v/>
      </c>
      <c r="BR43" t="str">
        <f>""</f>
        <v/>
      </c>
      <c r="BS43" t="str">
        <f>""</f>
        <v/>
      </c>
      <c r="BT43" t="str">
        <f>""</f>
        <v/>
      </c>
      <c r="BU43" t="str">
        <f>""</f>
        <v/>
      </c>
      <c r="BV43" t="str">
        <f>""</f>
        <v/>
      </c>
      <c r="BW43" t="str">
        <f>""</f>
        <v/>
      </c>
      <c r="BX43" t="str">
        <f>""</f>
        <v/>
      </c>
      <c r="BY43" t="str">
        <f>""</f>
        <v/>
      </c>
      <c r="BZ43" t="str">
        <f>""</f>
        <v/>
      </c>
      <c r="CA43" t="str">
        <f>""</f>
        <v/>
      </c>
      <c r="CB43" t="str">
        <f>""</f>
        <v/>
      </c>
      <c r="CC43" t="str">
        <f>""</f>
        <v/>
      </c>
      <c r="CD43" t="str">
        <f>""</f>
        <v/>
      </c>
      <c r="CE43" t="str">
        <f>""</f>
        <v/>
      </c>
      <c r="CF43" t="str">
        <f>""</f>
        <v/>
      </c>
      <c r="CG43" t="str">
        <f>""</f>
        <v/>
      </c>
      <c r="CH43" t="str">
        <f>""</f>
        <v/>
      </c>
      <c r="CI43" t="str">
        <f>""</f>
        <v/>
      </c>
      <c r="CJ43" t="str">
        <f>""</f>
        <v/>
      </c>
      <c r="CK43" t="str">
        <f>""</f>
        <v/>
      </c>
      <c r="CL43" t="str">
        <f>""</f>
        <v/>
      </c>
      <c r="CM43" t="str">
        <f>""</f>
        <v/>
      </c>
      <c r="CN43" t="str">
        <f>""</f>
        <v/>
      </c>
      <c r="CO43" t="str">
        <f>""</f>
        <v/>
      </c>
      <c r="CP43" t="str">
        <f>""</f>
        <v/>
      </c>
      <c r="CQ43" t="str">
        <f>""</f>
        <v/>
      </c>
      <c r="CR43" t="str">
        <f>""</f>
        <v/>
      </c>
      <c r="CS43" t="str">
        <f>""</f>
        <v/>
      </c>
      <c r="CT43" t="str">
        <f>""</f>
        <v/>
      </c>
      <c r="CU43" t="str">
        <f>""</f>
        <v/>
      </c>
      <c r="CV43" t="str">
        <f>""</f>
        <v/>
      </c>
      <c r="CW43" t="str">
        <f>""</f>
        <v/>
      </c>
      <c r="CX43" t="str">
        <f>""</f>
        <v/>
      </c>
      <c r="CY43" t="str">
        <f>""</f>
        <v/>
      </c>
      <c r="CZ43" t="str">
        <f>""</f>
        <v/>
      </c>
      <c r="DA43" t="str">
        <f>""</f>
        <v/>
      </c>
      <c r="DB43" t="str">
        <f>""</f>
        <v/>
      </c>
      <c r="DC43" t="str">
        <f>""</f>
        <v/>
      </c>
      <c r="DD43" t="str">
        <f>""</f>
        <v/>
      </c>
      <c r="DE43" t="str">
        <f>""</f>
        <v/>
      </c>
      <c r="DF43" t="str">
        <f>""</f>
        <v/>
      </c>
      <c r="DG43" t="str">
        <f>""</f>
        <v/>
      </c>
      <c r="DH43" t="str">
        <f>""</f>
        <v/>
      </c>
      <c r="DI43" t="str">
        <f>""</f>
        <v/>
      </c>
      <c r="DJ43" t="str">
        <f>""</f>
        <v/>
      </c>
      <c r="DK43" t="str">
        <f>""</f>
        <v/>
      </c>
      <c r="DL43" t="str">
        <f>""</f>
        <v/>
      </c>
      <c r="DM43" t="str">
        <f>""</f>
        <v/>
      </c>
      <c r="DN43" t="str">
        <f>""</f>
        <v/>
      </c>
      <c r="DO43" t="str">
        <f>""</f>
        <v/>
      </c>
      <c r="DP43" t="str">
        <f>""</f>
        <v/>
      </c>
      <c r="DQ43" t="str">
        <f>""</f>
        <v/>
      </c>
      <c r="DR43" t="str">
        <f>""</f>
        <v/>
      </c>
      <c r="DS43" t="str">
        <f>""</f>
        <v/>
      </c>
    </row>
    <row r="44" spans="1:123" x14ac:dyDescent="0.25">
      <c r="BM44" t="str">
        <f>""</f>
        <v/>
      </c>
      <c r="BN44" t="str">
        <f>""</f>
        <v/>
      </c>
      <c r="BO44" t="str">
        <f>""</f>
        <v/>
      </c>
      <c r="BP44" t="str">
        <f>""</f>
        <v/>
      </c>
      <c r="BQ44" t="str">
        <f>""</f>
        <v/>
      </c>
      <c r="BR44" t="str">
        <f>""</f>
        <v/>
      </c>
      <c r="BS44" t="str">
        <f>""</f>
        <v/>
      </c>
      <c r="BT44" t="str">
        <f>""</f>
        <v/>
      </c>
      <c r="BU44" t="str">
        <f>""</f>
        <v/>
      </c>
      <c r="BV44" t="str">
        <f>""</f>
        <v/>
      </c>
      <c r="BW44" t="str">
        <f>""</f>
        <v/>
      </c>
      <c r="BX44" t="str">
        <f>""</f>
        <v/>
      </c>
      <c r="BY44" t="str">
        <f>""</f>
        <v/>
      </c>
      <c r="BZ44" t="str">
        <f>""</f>
        <v/>
      </c>
      <c r="CA44" t="str">
        <f>""</f>
        <v/>
      </c>
      <c r="CB44" t="str">
        <f>""</f>
        <v/>
      </c>
      <c r="CC44" t="str">
        <f>""</f>
        <v/>
      </c>
      <c r="CD44" t="str">
        <f>""</f>
        <v/>
      </c>
      <c r="CE44" t="str">
        <f>""</f>
        <v/>
      </c>
      <c r="CF44" t="str">
        <f>""</f>
        <v/>
      </c>
      <c r="CG44" t="str">
        <f>""</f>
        <v/>
      </c>
      <c r="CH44" t="str">
        <f>""</f>
        <v/>
      </c>
      <c r="CI44" t="str">
        <f>""</f>
        <v/>
      </c>
      <c r="CJ44" t="str">
        <f>""</f>
        <v/>
      </c>
      <c r="CK44" t="str">
        <f>""</f>
        <v/>
      </c>
      <c r="CL44" t="str">
        <f>""</f>
        <v/>
      </c>
      <c r="CM44" t="str">
        <f>""</f>
        <v/>
      </c>
      <c r="CN44" t="str">
        <f>""</f>
        <v/>
      </c>
      <c r="CO44" t="str">
        <f>""</f>
        <v/>
      </c>
      <c r="CP44" t="str">
        <f>""</f>
        <v/>
      </c>
      <c r="CQ44" t="str">
        <f>""</f>
        <v/>
      </c>
      <c r="CR44" t="str">
        <f>""</f>
        <v/>
      </c>
      <c r="CS44" t="str">
        <f>""</f>
        <v/>
      </c>
      <c r="CT44" t="str">
        <f>""</f>
        <v/>
      </c>
      <c r="CU44" t="str">
        <f>""</f>
        <v/>
      </c>
      <c r="CV44" t="str">
        <f>""</f>
        <v/>
      </c>
      <c r="CW44" t="str">
        <f>""</f>
        <v/>
      </c>
      <c r="CX44" t="str">
        <f>""</f>
        <v/>
      </c>
      <c r="CY44" t="str">
        <f>""</f>
        <v/>
      </c>
      <c r="CZ44" t="str">
        <f>""</f>
        <v/>
      </c>
      <c r="DA44" t="str">
        <f>""</f>
        <v/>
      </c>
      <c r="DB44" t="str">
        <f>""</f>
        <v/>
      </c>
      <c r="DC44" t="str">
        <f>""</f>
        <v/>
      </c>
      <c r="DD44" t="str">
        <f>""</f>
        <v/>
      </c>
      <c r="DE44" t="str">
        <f>""</f>
        <v/>
      </c>
      <c r="DF44" t="str">
        <f>""</f>
        <v/>
      </c>
      <c r="DG44" t="str">
        <f>""</f>
        <v/>
      </c>
      <c r="DH44" t="str">
        <f>""</f>
        <v/>
      </c>
      <c r="DI44" t="str">
        <f>""</f>
        <v/>
      </c>
      <c r="DJ44" t="str">
        <f>""</f>
        <v/>
      </c>
      <c r="DK44" t="str">
        <f>""</f>
        <v/>
      </c>
      <c r="DL44" t="str">
        <f>""</f>
        <v/>
      </c>
      <c r="DM44" t="str">
        <f>""</f>
        <v/>
      </c>
      <c r="DN44" t="str">
        <f>""</f>
        <v/>
      </c>
      <c r="DO44" t="str">
        <f>""</f>
        <v/>
      </c>
      <c r="DP44" t="str">
        <f>""</f>
        <v/>
      </c>
      <c r="DQ44" t="str">
        <f>""</f>
        <v/>
      </c>
      <c r="DR44" t="str">
        <f>""</f>
        <v/>
      </c>
      <c r="DS44" t="str">
        <f>""</f>
        <v/>
      </c>
    </row>
    <row r="45" spans="1:123" x14ac:dyDescent="0.25">
      <c r="A45" t="str">
        <f t="shared" ref="A45:AF45" si="2">"~~~~~~~~~~"</f>
        <v>~~~~~~~~~~</v>
      </c>
      <c r="B45" t="str">
        <f t="shared" si="2"/>
        <v>~~~~~~~~~~</v>
      </c>
      <c r="C45" t="str">
        <f t="shared" si="2"/>
        <v>~~~~~~~~~~</v>
      </c>
      <c r="D45" t="str">
        <f t="shared" si="2"/>
        <v>~~~~~~~~~~</v>
      </c>
      <c r="E45" t="str">
        <f t="shared" si="2"/>
        <v>~~~~~~~~~~</v>
      </c>
      <c r="F45" t="str">
        <f t="shared" si="2"/>
        <v>~~~~~~~~~~</v>
      </c>
      <c r="G45" t="str">
        <f t="shared" si="2"/>
        <v>~~~~~~~~~~</v>
      </c>
      <c r="H45" t="str">
        <f t="shared" si="2"/>
        <v>~~~~~~~~~~</v>
      </c>
      <c r="I45" t="str">
        <f t="shared" si="2"/>
        <v>~~~~~~~~~~</v>
      </c>
      <c r="J45" t="str">
        <f t="shared" si="2"/>
        <v>~~~~~~~~~~</v>
      </c>
      <c r="K45" t="str">
        <f t="shared" si="2"/>
        <v>~~~~~~~~~~</v>
      </c>
      <c r="L45" t="str">
        <f t="shared" si="2"/>
        <v>~~~~~~~~~~</v>
      </c>
      <c r="M45" t="str">
        <f t="shared" si="2"/>
        <v>~~~~~~~~~~</v>
      </c>
      <c r="N45" t="str">
        <f t="shared" si="2"/>
        <v>~~~~~~~~~~</v>
      </c>
      <c r="O45" t="str">
        <f t="shared" si="2"/>
        <v>~~~~~~~~~~</v>
      </c>
      <c r="P45" t="str">
        <f t="shared" si="2"/>
        <v>~~~~~~~~~~</v>
      </c>
      <c r="Q45" t="str">
        <f t="shared" si="2"/>
        <v>~~~~~~~~~~</v>
      </c>
      <c r="R45" t="str">
        <f t="shared" si="2"/>
        <v>~~~~~~~~~~</v>
      </c>
      <c r="S45" t="str">
        <f t="shared" si="2"/>
        <v>~~~~~~~~~~</v>
      </c>
      <c r="T45" t="str">
        <f t="shared" si="2"/>
        <v>~~~~~~~~~~</v>
      </c>
      <c r="U45" t="str">
        <f t="shared" si="2"/>
        <v>~~~~~~~~~~</v>
      </c>
      <c r="V45" t="str">
        <f t="shared" si="2"/>
        <v>~~~~~~~~~~</v>
      </c>
      <c r="W45" t="str">
        <f t="shared" si="2"/>
        <v>~~~~~~~~~~</v>
      </c>
      <c r="X45" t="str">
        <f t="shared" si="2"/>
        <v>~~~~~~~~~~</v>
      </c>
      <c r="Y45" t="str">
        <f t="shared" si="2"/>
        <v>~~~~~~~~~~</v>
      </c>
      <c r="Z45" t="str">
        <f t="shared" si="2"/>
        <v>~~~~~~~~~~</v>
      </c>
      <c r="AA45" t="str">
        <f t="shared" si="2"/>
        <v>~~~~~~~~~~</v>
      </c>
      <c r="AB45" t="str">
        <f t="shared" si="2"/>
        <v>~~~~~~~~~~</v>
      </c>
      <c r="AC45" t="str">
        <f t="shared" si="2"/>
        <v>~~~~~~~~~~</v>
      </c>
      <c r="AD45" t="str">
        <f t="shared" si="2"/>
        <v>~~~~~~~~~~</v>
      </c>
      <c r="AE45" t="str">
        <f t="shared" si="2"/>
        <v>~~~~~~~~~~</v>
      </c>
      <c r="AF45" t="str">
        <f t="shared" si="2"/>
        <v>~~~~~~~~~~</v>
      </c>
      <c r="AG45" t="str">
        <f t="shared" ref="AG45:BL45" si="3">"~~~~~~~~~~"</f>
        <v>~~~~~~~~~~</v>
      </c>
      <c r="AH45" t="str">
        <f t="shared" si="3"/>
        <v>~~~~~~~~~~</v>
      </c>
      <c r="AI45" t="str">
        <f t="shared" si="3"/>
        <v>~~~~~~~~~~</v>
      </c>
      <c r="AJ45" t="str">
        <f t="shared" si="3"/>
        <v>~~~~~~~~~~</v>
      </c>
      <c r="AK45" t="str">
        <f t="shared" si="3"/>
        <v>~~~~~~~~~~</v>
      </c>
      <c r="AL45" t="str">
        <f t="shared" si="3"/>
        <v>~~~~~~~~~~</v>
      </c>
      <c r="AM45" t="str">
        <f t="shared" si="3"/>
        <v>~~~~~~~~~~</v>
      </c>
      <c r="AN45" t="str">
        <f t="shared" si="3"/>
        <v>~~~~~~~~~~</v>
      </c>
      <c r="AO45" t="str">
        <f t="shared" si="3"/>
        <v>~~~~~~~~~~</v>
      </c>
      <c r="AP45" t="str">
        <f t="shared" si="3"/>
        <v>~~~~~~~~~~</v>
      </c>
      <c r="AQ45" t="str">
        <f t="shared" si="3"/>
        <v>~~~~~~~~~~</v>
      </c>
      <c r="AR45" t="str">
        <f t="shared" si="3"/>
        <v>~~~~~~~~~~</v>
      </c>
      <c r="AS45" t="str">
        <f t="shared" si="3"/>
        <v>~~~~~~~~~~</v>
      </c>
      <c r="AT45" t="str">
        <f t="shared" si="3"/>
        <v>~~~~~~~~~~</v>
      </c>
      <c r="AU45" t="str">
        <f t="shared" si="3"/>
        <v>~~~~~~~~~~</v>
      </c>
      <c r="AV45" t="str">
        <f t="shared" si="3"/>
        <v>~~~~~~~~~~</v>
      </c>
      <c r="AW45" t="str">
        <f t="shared" si="3"/>
        <v>~~~~~~~~~~</v>
      </c>
      <c r="AX45" t="str">
        <f t="shared" si="3"/>
        <v>~~~~~~~~~~</v>
      </c>
      <c r="AY45" t="str">
        <f t="shared" si="3"/>
        <v>~~~~~~~~~~</v>
      </c>
      <c r="AZ45" t="str">
        <f t="shared" si="3"/>
        <v>~~~~~~~~~~</v>
      </c>
      <c r="BA45" t="str">
        <f t="shared" si="3"/>
        <v>~~~~~~~~~~</v>
      </c>
      <c r="BB45" t="str">
        <f t="shared" si="3"/>
        <v>~~~~~~~~~~</v>
      </c>
      <c r="BC45" t="str">
        <f t="shared" si="3"/>
        <v>~~~~~~~~~~</v>
      </c>
      <c r="BD45" t="str">
        <f t="shared" si="3"/>
        <v>~~~~~~~~~~</v>
      </c>
      <c r="BE45" t="str">
        <f t="shared" si="3"/>
        <v>~~~~~~~~~~</v>
      </c>
      <c r="BF45" t="str">
        <f t="shared" si="3"/>
        <v>~~~~~~~~~~</v>
      </c>
      <c r="BG45" t="str">
        <f t="shared" si="3"/>
        <v>~~~~~~~~~~</v>
      </c>
      <c r="BH45" t="str">
        <f t="shared" si="3"/>
        <v>~~~~~~~~~~</v>
      </c>
      <c r="BI45" t="str">
        <f t="shared" si="3"/>
        <v>~~~~~~~~~~</v>
      </c>
      <c r="BJ45" t="str">
        <f t="shared" si="3"/>
        <v>~~~~~~~~~~</v>
      </c>
      <c r="BK45" t="str">
        <f t="shared" si="3"/>
        <v>~~~~~~~~~~</v>
      </c>
      <c r="BL45" t="str">
        <f t="shared" si="3"/>
        <v>~~~~~~~~~~</v>
      </c>
      <c r="BM45" t="str">
        <f>""</f>
        <v/>
      </c>
      <c r="BN45" t="str">
        <f>""</f>
        <v/>
      </c>
      <c r="BO45" t="str">
        <f>""</f>
        <v/>
      </c>
      <c r="BP45" t="str">
        <f>""</f>
        <v/>
      </c>
      <c r="BQ45" t="str">
        <f>""</f>
        <v/>
      </c>
      <c r="BR45" t="str">
        <f>""</f>
        <v/>
      </c>
      <c r="BS45" t="str">
        <f>""</f>
        <v/>
      </c>
      <c r="BT45" t="str">
        <f>""</f>
        <v/>
      </c>
      <c r="BU45" t="str">
        <f>""</f>
        <v/>
      </c>
      <c r="BV45" t="str">
        <f>""</f>
        <v/>
      </c>
      <c r="BW45" t="str">
        <f>""</f>
        <v/>
      </c>
      <c r="BX45" t="str">
        <f>""</f>
        <v/>
      </c>
      <c r="BY45" t="str">
        <f>""</f>
        <v/>
      </c>
      <c r="BZ45" t="str">
        <f>""</f>
        <v/>
      </c>
      <c r="CA45" t="str">
        <f>""</f>
        <v/>
      </c>
      <c r="CB45" t="str">
        <f>""</f>
        <v/>
      </c>
      <c r="CC45" t="str">
        <f>""</f>
        <v/>
      </c>
      <c r="CD45" t="str">
        <f>""</f>
        <v/>
      </c>
      <c r="CE45" t="str">
        <f>""</f>
        <v/>
      </c>
      <c r="CF45" t="str">
        <f>""</f>
        <v/>
      </c>
      <c r="CG45" t="str">
        <f>""</f>
        <v/>
      </c>
      <c r="CH45" t="str">
        <f>""</f>
        <v/>
      </c>
      <c r="CI45" t="str">
        <f>""</f>
        <v/>
      </c>
      <c r="CJ45" t="str">
        <f>""</f>
        <v/>
      </c>
      <c r="CK45" t="str">
        <f>""</f>
        <v/>
      </c>
      <c r="CL45" t="str">
        <f>""</f>
        <v/>
      </c>
      <c r="CM45" t="str">
        <f>""</f>
        <v/>
      </c>
      <c r="CN45" t="str">
        <f>""</f>
        <v/>
      </c>
      <c r="CO45" t="str">
        <f>""</f>
        <v/>
      </c>
      <c r="CP45" t="str">
        <f>""</f>
        <v/>
      </c>
      <c r="CQ45" t="str">
        <f>""</f>
        <v/>
      </c>
      <c r="CR45" t="str">
        <f>""</f>
        <v/>
      </c>
      <c r="CS45" t="str">
        <f>""</f>
        <v/>
      </c>
      <c r="CT45" t="str">
        <f>""</f>
        <v/>
      </c>
      <c r="CU45" t="str">
        <f>""</f>
        <v/>
      </c>
      <c r="CV45" t="str">
        <f>""</f>
        <v/>
      </c>
      <c r="CW45" t="str">
        <f>""</f>
        <v/>
      </c>
      <c r="CX45" t="str">
        <f>""</f>
        <v/>
      </c>
      <c r="CY45" t="str">
        <f>""</f>
        <v/>
      </c>
      <c r="CZ45" t="str">
        <f>""</f>
        <v/>
      </c>
      <c r="DA45" t="str">
        <f>""</f>
        <v/>
      </c>
      <c r="DB45" t="str">
        <f>""</f>
        <v/>
      </c>
      <c r="DC45" t="str">
        <f>""</f>
        <v/>
      </c>
      <c r="DD45" t="str">
        <f>""</f>
        <v/>
      </c>
      <c r="DE45" t="str">
        <f>""</f>
        <v/>
      </c>
      <c r="DF45" t="str">
        <f>""</f>
        <v/>
      </c>
      <c r="DG45" t="str">
        <f>""</f>
        <v/>
      </c>
      <c r="DH45" t="str">
        <f>""</f>
        <v/>
      </c>
      <c r="DI45" t="str">
        <f>""</f>
        <v/>
      </c>
      <c r="DJ45" t="str">
        <f>""</f>
        <v/>
      </c>
      <c r="DK45" t="str">
        <f>""</f>
        <v/>
      </c>
      <c r="DL45" t="str">
        <f>""</f>
        <v/>
      </c>
      <c r="DM45" t="str">
        <f>""</f>
        <v/>
      </c>
      <c r="DN45" t="str">
        <f>""</f>
        <v/>
      </c>
      <c r="DO45" t="str">
        <f>""</f>
        <v/>
      </c>
      <c r="DP45" t="str">
        <f>""</f>
        <v/>
      </c>
      <c r="DQ45" t="str">
        <f>""</f>
        <v/>
      </c>
      <c r="DR45" t="str">
        <f>""</f>
        <v/>
      </c>
      <c r="DS45" t="str">
        <f>""</f>
        <v/>
      </c>
    </row>
    <row r="46" spans="1:123" x14ac:dyDescent="0.25">
      <c r="A46" t="str">
        <f>"All rows below have been added for reference by formula rows above."</f>
        <v>All rows below have been added for reference by formula rows above.</v>
      </c>
      <c r="BM46" t="str">
        <f>""</f>
        <v/>
      </c>
      <c r="BN46" t="str">
        <f>""</f>
        <v/>
      </c>
      <c r="BO46" t="str">
        <f>""</f>
        <v/>
      </c>
      <c r="BP46" t="str">
        <f>""</f>
        <v/>
      </c>
      <c r="BQ46" t="str">
        <f>""</f>
        <v/>
      </c>
      <c r="BR46" t="str">
        <f>""</f>
        <v/>
      </c>
      <c r="BS46" t="str">
        <f>""</f>
        <v/>
      </c>
      <c r="BT46" t="str">
        <f>""</f>
        <v/>
      </c>
      <c r="BU46" t="str">
        <f>""</f>
        <v/>
      </c>
      <c r="BV46" t="str">
        <f>""</f>
        <v/>
      </c>
      <c r="BW46" t="str">
        <f>""</f>
        <v/>
      </c>
      <c r="BX46" t="str">
        <f>""</f>
        <v/>
      </c>
      <c r="BY46" t="str">
        <f>""</f>
        <v/>
      </c>
      <c r="BZ46" t="str">
        <f>""</f>
        <v/>
      </c>
      <c r="CA46" t="str">
        <f>""</f>
        <v/>
      </c>
      <c r="CB46" t="str">
        <f>""</f>
        <v/>
      </c>
      <c r="CC46" t="str">
        <f>""</f>
        <v/>
      </c>
      <c r="CD46" t="str">
        <f>""</f>
        <v/>
      </c>
      <c r="CE46" t="str">
        <f>""</f>
        <v/>
      </c>
      <c r="CF46" t="str">
        <f>""</f>
        <v/>
      </c>
      <c r="CG46" t="str">
        <f>""</f>
        <v/>
      </c>
      <c r="CH46" t="str">
        <f>""</f>
        <v/>
      </c>
      <c r="CI46" t="str">
        <f>""</f>
        <v/>
      </c>
      <c r="CJ46" t="str">
        <f>""</f>
        <v/>
      </c>
      <c r="CK46" t="str">
        <f>""</f>
        <v/>
      </c>
      <c r="CL46" t="str">
        <f>""</f>
        <v/>
      </c>
      <c r="CM46" t="str">
        <f>""</f>
        <v/>
      </c>
      <c r="CN46" t="str">
        <f>""</f>
        <v/>
      </c>
      <c r="CO46" t="str">
        <f>""</f>
        <v/>
      </c>
      <c r="CP46" t="str">
        <f>""</f>
        <v/>
      </c>
      <c r="CQ46" t="str">
        <f>""</f>
        <v/>
      </c>
      <c r="CR46" t="str">
        <f>""</f>
        <v/>
      </c>
      <c r="CS46" t="str">
        <f>""</f>
        <v/>
      </c>
      <c r="CT46" t="str">
        <f>""</f>
        <v/>
      </c>
      <c r="CU46" t="str">
        <f>""</f>
        <v/>
      </c>
      <c r="CV46" t="str">
        <f>""</f>
        <v/>
      </c>
      <c r="CW46" t="str">
        <f>""</f>
        <v/>
      </c>
      <c r="CX46" t="str">
        <f>""</f>
        <v/>
      </c>
      <c r="CY46" t="str">
        <f>""</f>
        <v/>
      </c>
      <c r="CZ46" t="str">
        <f>""</f>
        <v/>
      </c>
      <c r="DA46" t="str">
        <f>""</f>
        <v/>
      </c>
      <c r="DB46" t="str">
        <f>""</f>
        <v/>
      </c>
      <c r="DC46" t="str">
        <f>""</f>
        <v/>
      </c>
      <c r="DD46" t="str">
        <f>""</f>
        <v/>
      </c>
      <c r="DE46" t="str">
        <f>""</f>
        <v/>
      </c>
      <c r="DF46" t="str">
        <f>""</f>
        <v/>
      </c>
      <c r="DG46" t="str">
        <f>""</f>
        <v/>
      </c>
      <c r="DH46" t="str">
        <f>""</f>
        <v/>
      </c>
      <c r="DI46" t="str">
        <f>""</f>
        <v/>
      </c>
      <c r="DJ46" t="str">
        <f>""</f>
        <v/>
      </c>
      <c r="DK46" t="str">
        <f>""</f>
        <v/>
      </c>
      <c r="DL46" t="str">
        <f>""</f>
        <v/>
      </c>
      <c r="DM46" t="str">
        <f>""</f>
        <v/>
      </c>
      <c r="DN46" t="str">
        <f>""</f>
        <v/>
      </c>
      <c r="DO46" t="str">
        <f>""</f>
        <v/>
      </c>
      <c r="DP46" t="str">
        <f>""</f>
        <v/>
      </c>
      <c r="DQ46" t="str">
        <f>""</f>
        <v/>
      </c>
      <c r="DR46" t="str">
        <f>""</f>
        <v/>
      </c>
      <c r="DS46" t="str">
        <f>""</f>
        <v/>
      </c>
    </row>
    <row r="47" spans="1:123" x14ac:dyDescent="0.25">
      <c r="A47">
        <f>RTD("bloomberg.ccyreader", "", "#track", "DBG", "BIHITX", "1.0","RepeatHit")</f>
        <v>0</v>
      </c>
      <c r="BM47" t="str">
        <f>""</f>
        <v/>
      </c>
      <c r="BN47" t="str">
        <f>""</f>
        <v/>
      </c>
      <c r="BO47" t="str">
        <f>""</f>
        <v/>
      </c>
      <c r="BP47" t="str">
        <f>""</f>
        <v/>
      </c>
      <c r="BQ47" t="str">
        <f>""</f>
        <v/>
      </c>
      <c r="BR47" t="str">
        <f>""</f>
        <v/>
      </c>
      <c r="BS47" t="str">
        <f>""</f>
        <v/>
      </c>
      <c r="BT47" t="str">
        <f>""</f>
        <v/>
      </c>
      <c r="BU47" t="str">
        <f>""</f>
        <v/>
      </c>
      <c r="BV47" t="str">
        <f>""</f>
        <v/>
      </c>
      <c r="BW47" t="str">
        <f>""</f>
        <v/>
      </c>
      <c r="BX47" t="str">
        <f>""</f>
        <v/>
      </c>
      <c r="BY47" t="str">
        <f>""</f>
        <v/>
      </c>
      <c r="BZ47" t="str">
        <f>""</f>
        <v/>
      </c>
      <c r="CA47" t="str">
        <f>""</f>
        <v/>
      </c>
      <c r="CB47" t="str">
        <f>""</f>
        <v/>
      </c>
      <c r="CC47" t="str">
        <f>""</f>
        <v/>
      </c>
      <c r="CD47" t="str">
        <f>""</f>
        <v/>
      </c>
      <c r="CE47" t="str">
        <f>""</f>
        <v/>
      </c>
      <c r="CF47" t="str">
        <f>""</f>
        <v/>
      </c>
      <c r="CG47" t="str">
        <f>""</f>
        <v/>
      </c>
      <c r="CH47" t="str">
        <f>""</f>
        <v/>
      </c>
      <c r="CI47" t="str">
        <f>""</f>
        <v/>
      </c>
      <c r="CJ47" t="str">
        <f>""</f>
        <v/>
      </c>
      <c r="CK47" t="str">
        <f>""</f>
        <v/>
      </c>
      <c r="CL47" t="str">
        <f>""</f>
        <v/>
      </c>
      <c r="CM47" t="str">
        <f>""</f>
        <v/>
      </c>
      <c r="CN47" t="str">
        <f>""</f>
        <v/>
      </c>
      <c r="CO47" t="str">
        <f>""</f>
        <v/>
      </c>
      <c r="CP47" t="str">
        <f>""</f>
        <v/>
      </c>
      <c r="CQ47" t="str">
        <f>""</f>
        <v/>
      </c>
      <c r="CR47" t="str">
        <f>""</f>
        <v/>
      </c>
      <c r="CS47" t="str">
        <f>""</f>
        <v/>
      </c>
      <c r="CT47" t="str">
        <f>""</f>
        <v/>
      </c>
      <c r="CU47" t="str">
        <f>""</f>
        <v/>
      </c>
      <c r="CV47" t="str">
        <f>""</f>
        <v/>
      </c>
      <c r="CW47" t="str">
        <f>""</f>
        <v/>
      </c>
      <c r="CX47" t="str">
        <f>""</f>
        <v/>
      </c>
      <c r="CY47" t="str">
        <f>""</f>
        <v/>
      </c>
      <c r="CZ47" t="str">
        <f>""</f>
        <v/>
      </c>
      <c r="DA47" t="str">
        <f>""</f>
        <v/>
      </c>
      <c r="DB47" t="str">
        <f>""</f>
        <v/>
      </c>
      <c r="DC47" t="str">
        <f>""</f>
        <v/>
      </c>
      <c r="DD47" t="str">
        <f>""</f>
        <v/>
      </c>
      <c r="DE47" t="str">
        <f>""</f>
        <v/>
      </c>
      <c r="DF47" t="str">
        <f>""</f>
        <v/>
      </c>
      <c r="DG47" t="str">
        <f>""</f>
        <v/>
      </c>
      <c r="DH47" t="str">
        <f>""</f>
        <v/>
      </c>
      <c r="DI47" t="str">
        <f>""</f>
        <v/>
      </c>
      <c r="DJ47" t="str">
        <f>""</f>
        <v/>
      </c>
      <c r="DK47" t="str">
        <f>""</f>
        <v/>
      </c>
      <c r="DL47" t="str">
        <f>""</f>
        <v/>
      </c>
      <c r="DM47" t="str">
        <f>""</f>
        <v/>
      </c>
      <c r="DN47" t="str">
        <f>""</f>
        <v/>
      </c>
      <c r="DO47" t="str">
        <f>""</f>
        <v/>
      </c>
      <c r="DP47" t="str">
        <f>""</f>
        <v/>
      </c>
      <c r="DQ47" t="str">
        <f>""</f>
        <v/>
      </c>
      <c r="DR47" t="str">
        <f>""</f>
        <v/>
      </c>
      <c r="DS47" t="str">
        <f>""</f>
        <v/>
      </c>
    </row>
    <row r="48" spans="1:123" x14ac:dyDescent="0.25">
      <c r="A48" t="str">
        <f>"Currency"</f>
        <v>Currency</v>
      </c>
      <c r="B48" t="str">
        <f>"USD"</f>
        <v>USD</v>
      </c>
      <c r="BM48" t="str">
        <f>""</f>
        <v/>
      </c>
      <c r="BN48" t="str">
        <f>""</f>
        <v/>
      </c>
      <c r="BO48" t="str">
        <f>""</f>
        <v/>
      </c>
      <c r="BP48" t="str">
        <f>""</f>
        <v/>
      </c>
      <c r="BQ48" t="str">
        <f>""</f>
        <v/>
      </c>
      <c r="BR48" t="str">
        <f>""</f>
        <v/>
      </c>
      <c r="BS48" t="str">
        <f>""</f>
        <v/>
      </c>
      <c r="BT48" t="str">
        <f>""</f>
        <v/>
      </c>
      <c r="BU48" t="str">
        <f>""</f>
        <v/>
      </c>
      <c r="BV48" t="str">
        <f>""</f>
        <v/>
      </c>
      <c r="BW48" t="str">
        <f>""</f>
        <v/>
      </c>
      <c r="BX48" t="str">
        <f>""</f>
        <v/>
      </c>
      <c r="BY48" t="str">
        <f>""</f>
        <v/>
      </c>
      <c r="BZ48" t="str">
        <f>""</f>
        <v/>
      </c>
      <c r="CA48" t="str">
        <f>""</f>
        <v/>
      </c>
      <c r="CB48" t="str">
        <f>""</f>
        <v/>
      </c>
      <c r="CC48" t="str">
        <f>""</f>
        <v/>
      </c>
      <c r="CD48" t="str">
        <f>""</f>
        <v/>
      </c>
      <c r="CE48" t="str">
        <f>""</f>
        <v/>
      </c>
      <c r="CF48" t="str">
        <f>""</f>
        <v/>
      </c>
      <c r="CG48" t="str">
        <f>""</f>
        <v/>
      </c>
      <c r="CH48" t="str">
        <f>""</f>
        <v/>
      </c>
      <c r="CI48" t="str">
        <f>""</f>
        <v/>
      </c>
      <c r="CJ48" t="str">
        <f>""</f>
        <v/>
      </c>
      <c r="CK48" t="str">
        <f>""</f>
        <v/>
      </c>
      <c r="CL48" t="str">
        <f>""</f>
        <v/>
      </c>
      <c r="CM48" t="str">
        <f>""</f>
        <v/>
      </c>
      <c r="CN48" t="str">
        <f>""</f>
        <v/>
      </c>
      <c r="CO48" t="str">
        <f>""</f>
        <v/>
      </c>
      <c r="CP48" t="str">
        <f>""</f>
        <v/>
      </c>
      <c r="CQ48" t="str">
        <f>""</f>
        <v/>
      </c>
      <c r="CR48" t="str">
        <f>""</f>
        <v/>
      </c>
      <c r="CS48" t="str">
        <f>""</f>
        <v/>
      </c>
      <c r="CT48" t="str">
        <f>""</f>
        <v/>
      </c>
      <c r="CU48" t="str">
        <f>""</f>
        <v/>
      </c>
      <c r="CV48" t="str">
        <f>""</f>
        <v/>
      </c>
      <c r="CW48" t="str">
        <f>""</f>
        <v/>
      </c>
      <c r="CX48" t="str">
        <f>""</f>
        <v/>
      </c>
      <c r="CY48" t="str">
        <f>""</f>
        <v/>
      </c>
      <c r="CZ48" t="str">
        <f>""</f>
        <v/>
      </c>
      <c r="DA48" t="str">
        <f>""</f>
        <v/>
      </c>
      <c r="DB48" t="str">
        <f>""</f>
        <v/>
      </c>
      <c r="DC48" t="str">
        <f>""</f>
        <v/>
      </c>
      <c r="DD48" t="str">
        <f>""</f>
        <v/>
      </c>
      <c r="DE48" t="str">
        <f>""</f>
        <v/>
      </c>
      <c r="DF48" t="str">
        <f>""</f>
        <v/>
      </c>
      <c r="DG48" t="str">
        <f>""</f>
        <v/>
      </c>
      <c r="DH48" t="str">
        <f>""</f>
        <v/>
      </c>
      <c r="DI48" t="str">
        <f>""</f>
        <v/>
      </c>
      <c r="DJ48" t="str">
        <f>""</f>
        <v/>
      </c>
      <c r="DK48" t="str">
        <f>""</f>
        <v/>
      </c>
      <c r="DL48" t="str">
        <f>""</f>
        <v/>
      </c>
      <c r="DM48" t="str">
        <f>""</f>
        <v/>
      </c>
      <c r="DN48" t="str">
        <f>""</f>
        <v/>
      </c>
      <c r="DO48" t="str">
        <f>""</f>
        <v/>
      </c>
      <c r="DP48" t="str">
        <f>""</f>
        <v/>
      </c>
      <c r="DQ48" t="str">
        <f>""</f>
        <v/>
      </c>
      <c r="DR48" t="str">
        <f>""</f>
        <v/>
      </c>
      <c r="DS48" t="str">
        <f>""</f>
        <v/>
      </c>
    </row>
    <row r="49" spans="1:123" x14ac:dyDescent="0.25">
      <c r="A49" t="str">
        <f>"Periodicity"</f>
        <v>Periodicity</v>
      </c>
      <c r="B49" t="str">
        <f>"CQ"</f>
        <v>CQ</v>
      </c>
      <c r="C49" t="str">
        <f>"AQ"</f>
        <v>AQ</v>
      </c>
      <c r="BM49" t="str">
        <f>""</f>
        <v/>
      </c>
      <c r="BN49" t="str">
        <f>""</f>
        <v/>
      </c>
      <c r="BO49" t="str">
        <f>""</f>
        <v/>
      </c>
      <c r="BP49" t="str">
        <f>""</f>
        <v/>
      </c>
      <c r="BQ49" t="str">
        <f>""</f>
        <v/>
      </c>
      <c r="BR49" t="str">
        <f>""</f>
        <v/>
      </c>
      <c r="BS49" t="str">
        <f>""</f>
        <v/>
      </c>
      <c r="BT49" t="str">
        <f>""</f>
        <v/>
      </c>
      <c r="BU49" t="str">
        <f>""</f>
        <v/>
      </c>
      <c r="BV49" t="str">
        <f>""</f>
        <v/>
      </c>
      <c r="BW49" t="str">
        <f>""</f>
        <v/>
      </c>
      <c r="BX49" t="str">
        <f>""</f>
        <v/>
      </c>
      <c r="BY49" t="str">
        <f>""</f>
        <v/>
      </c>
      <c r="BZ49" t="str">
        <f>""</f>
        <v/>
      </c>
      <c r="CA49" t="str">
        <f>""</f>
        <v/>
      </c>
      <c r="CB49" t="str">
        <f>""</f>
        <v/>
      </c>
      <c r="CC49" t="str">
        <f>""</f>
        <v/>
      </c>
      <c r="CD49" t="str">
        <f>""</f>
        <v/>
      </c>
      <c r="CE49" t="str">
        <f>""</f>
        <v/>
      </c>
      <c r="CF49" t="str">
        <f>""</f>
        <v/>
      </c>
      <c r="CG49" t="str">
        <f>""</f>
        <v/>
      </c>
      <c r="CH49" t="str">
        <f>""</f>
        <v/>
      </c>
      <c r="CI49" t="str">
        <f>""</f>
        <v/>
      </c>
      <c r="CJ49" t="str">
        <f>""</f>
        <v/>
      </c>
      <c r="CK49" t="str">
        <f>""</f>
        <v/>
      </c>
      <c r="CL49" t="str">
        <f>""</f>
        <v/>
      </c>
      <c r="CM49" t="str">
        <f>""</f>
        <v/>
      </c>
      <c r="CN49" t="str">
        <f>""</f>
        <v/>
      </c>
      <c r="CO49" t="str">
        <f>""</f>
        <v/>
      </c>
      <c r="CP49" t="str">
        <f>""</f>
        <v/>
      </c>
      <c r="CQ49" t="str">
        <f>""</f>
        <v/>
      </c>
      <c r="CR49" t="str">
        <f>""</f>
        <v/>
      </c>
      <c r="CS49" t="str">
        <f>""</f>
        <v/>
      </c>
      <c r="CT49" t="str">
        <f>""</f>
        <v/>
      </c>
      <c r="CU49" t="str">
        <f>""</f>
        <v/>
      </c>
      <c r="CV49" t="str">
        <f>""</f>
        <v/>
      </c>
      <c r="CW49" t="str">
        <f>""</f>
        <v/>
      </c>
      <c r="CX49" t="str">
        <f>""</f>
        <v/>
      </c>
      <c r="CY49" t="str">
        <f>""</f>
        <v/>
      </c>
      <c r="CZ49" t="str">
        <f>""</f>
        <v/>
      </c>
      <c r="DA49" t="str">
        <f>""</f>
        <v/>
      </c>
      <c r="DB49" t="str">
        <f>""</f>
        <v/>
      </c>
      <c r="DC49" t="str">
        <f>""</f>
        <v/>
      </c>
      <c r="DD49" t="str">
        <f>""</f>
        <v/>
      </c>
      <c r="DE49" t="str">
        <f>""</f>
        <v/>
      </c>
      <c r="DF49" t="str">
        <f>""</f>
        <v/>
      </c>
      <c r="DG49" t="str">
        <f>""</f>
        <v/>
      </c>
      <c r="DH49" t="str">
        <f>""</f>
        <v/>
      </c>
      <c r="DI49" t="str">
        <f>""</f>
        <v/>
      </c>
      <c r="DJ49" t="str">
        <f>""</f>
        <v/>
      </c>
      <c r="DK49" t="str">
        <f>""</f>
        <v/>
      </c>
      <c r="DL49" t="str">
        <f>""</f>
        <v/>
      </c>
      <c r="DM49" t="str">
        <f>""</f>
        <v/>
      </c>
      <c r="DN49" t="str">
        <f>""</f>
        <v/>
      </c>
      <c r="DO49" t="str">
        <f>""</f>
        <v/>
      </c>
      <c r="DP49" t="str">
        <f>""</f>
        <v/>
      </c>
      <c r="DQ49" t="str">
        <f>""</f>
        <v/>
      </c>
      <c r="DR49" t="str">
        <f>""</f>
        <v/>
      </c>
      <c r="DS49" t="str">
        <f>""</f>
        <v/>
      </c>
    </row>
    <row r="50" spans="1:123" x14ac:dyDescent="0.25">
      <c r="A50" t="str">
        <f>"Number of Periods"</f>
        <v>Number of Periods</v>
      </c>
      <c r="B50">
        <f>59</f>
        <v>59</v>
      </c>
      <c r="BM50" t="str">
        <f>""</f>
        <v/>
      </c>
      <c r="BN50" t="str">
        <f>""</f>
        <v/>
      </c>
      <c r="BO50" t="str">
        <f>""</f>
        <v/>
      </c>
      <c r="BP50" t="str">
        <f>""</f>
        <v/>
      </c>
      <c r="BQ50" t="str">
        <f>""</f>
        <v/>
      </c>
      <c r="BR50" t="str">
        <f>""</f>
        <v/>
      </c>
      <c r="BS50" t="str">
        <f>""</f>
        <v/>
      </c>
      <c r="BT50" t="str">
        <f>""</f>
        <v/>
      </c>
      <c r="BU50" t="str">
        <f>""</f>
        <v/>
      </c>
      <c r="BV50" t="str">
        <f>""</f>
        <v/>
      </c>
      <c r="BW50" t="str">
        <f>""</f>
        <v/>
      </c>
      <c r="BX50" t="str">
        <f>""</f>
        <v/>
      </c>
      <c r="BY50" t="str">
        <f>""</f>
        <v/>
      </c>
      <c r="BZ50" t="str">
        <f>""</f>
        <v/>
      </c>
      <c r="CA50" t="str">
        <f>""</f>
        <v/>
      </c>
      <c r="CB50" t="str">
        <f>""</f>
        <v/>
      </c>
      <c r="CC50" t="str">
        <f>""</f>
        <v/>
      </c>
      <c r="CD50" t="str">
        <f>""</f>
        <v/>
      </c>
      <c r="CE50" t="str">
        <f>""</f>
        <v/>
      </c>
      <c r="CF50" t="str">
        <f>""</f>
        <v/>
      </c>
      <c r="CG50" t="str">
        <f>""</f>
        <v/>
      </c>
      <c r="CH50" t="str">
        <f>""</f>
        <v/>
      </c>
      <c r="CI50" t="str">
        <f>""</f>
        <v/>
      </c>
      <c r="CJ50" t="str">
        <f>""</f>
        <v/>
      </c>
      <c r="CK50" t="str">
        <f>""</f>
        <v/>
      </c>
      <c r="CL50" t="str">
        <f>""</f>
        <v/>
      </c>
      <c r="CM50" t="str">
        <f>""</f>
        <v/>
      </c>
      <c r="CN50" t="str">
        <f>""</f>
        <v/>
      </c>
      <c r="CO50" t="str">
        <f>""</f>
        <v/>
      </c>
      <c r="CP50" t="str">
        <f>""</f>
        <v/>
      </c>
      <c r="CQ50" t="str">
        <f>""</f>
        <v/>
      </c>
      <c r="CR50" t="str">
        <f>""</f>
        <v/>
      </c>
      <c r="CS50" t="str">
        <f>""</f>
        <v/>
      </c>
      <c r="CT50" t="str">
        <f>""</f>
        <v/>
      </c>
      <c r="CU50" t="str">
        <f>""</f>
        <v/>
      </c>
      <c r="CV50" t="str">
        <f>""</f>
        <v/>
      </c>
      <c r="CW50" t="str">
        <f>""</f>
        <v/>
      </c>
      <c r="CX50" t="str">
        <f>""</f>
        <v/>
      </c>
      <c r="CY50" t="str">
        <f>""</f>
        <v/>
      </c>
      <c r="CZ50" t="str">
        <f>""</f>
        <v/>
      </c>
      <c r="DA50" t="str">
        <f>""</f>
        <v/>
      </c>
      <c r="DB50" t="str">
        <f>""</f>
        <v/>
      </c>
      <c r="DC50" t="str">
        <f>""</f>
        <v/>
      </c>
      <c r="DD50" t="str">
        <f>""</f>
        <v/>
      </c>
      <c r="DE50" t="str">
        <f>""</f>
        <v/>
      </c>
      <c r="DF50" t="str">
        <f>""</f>
        <v/>
      </c>
      <c r="DG50" t="str">
        <f>""</f>
        <v/>
      </c>
      <c r="DH50" t="str">
        <f>""</f>
        <v/>
      </c>
      <c r="DI50" t="str">
        <f>""</f>
        <v/>
      </c>
      <c r="DJ50" t="str">
        <f>""</f>
        <v/>
      </c>
      <c r="DK50" t="str">
        <f>""</f>
        <v/>
      </c>
      <c r="DL50" t="str">
        <f>""</f>
        <v/>
      </c>
      <c r="DM50" t="str">
        <f>""</f>
        <v/>
      </c>
      <c r="DN50" t="str">
        <f>""</f>
        <v/>
      </c>
      <c r="DO50" t="str">
        <f>""</f>
        <v/>
      </c>
      <c r="DP50" t="str">
        <f>""</f>
        <v/>
      </c>
      <c r="DQ50" t="str">
        <f>""</f>
        <v/>
      </c>
      <c r="DR50" t="str">
        <f>""</f>
        <v/>
      </c>
      <c r="DS50" t="str">
        <f>""</f>
        <v/>
      </c>
    </row>
    <row r="51" spans="1:123" x14ac:dyDescent="0.25">
      <c r="A51" t="str">
        <f>"Start Date"</f>
        <v>Start Date</v>
      </c>
      <c r="B51" t="str">
        <f>CONCATENATE("-",$B$50,$B$49)</f>
        <v>-59CQ</v>
      </c>
      <c r="C51" t="str">
        <f>CONCATENATE("-",$B$50,$C$49)</f>
        <v>-59AQ</v>
      </c>
      <c r="BM51" t="str">
        <f>""</f>
        <v/>
      </c>
      <c r="BN51" t="str">
        <f>""</f>
        <v/>
      </c>
      <c r="BO51" t="str">
        <f>""</f>
        <v/>
      </c>
      <c r="BP51" t="str">
        <f>""</f>
        <v/>
      </c>
      <c r="BQ51" t="str">
        <f>""</f>
        <v/>
      </c>
      <c r="BR51" t="str">
        <f>""</f>
        <v/>
      </c>
      <c r="BS51" t="str">
        <f>""</f>
        <v/>
      </c>
      <c r="BT51" t="str">
        <f>""</f>
        <v/>
      </c>
      <c r="BU51" t="str">
        <f>""</f>
        <v/>
      </c>
      <c r="BV51" t="str">
        <f>""</f>
        <v/>
      </c>
      <c r="BW51" t="str">
        <f>""</f>
        <v/>
      </c>
      <c r="BX51" t="str">
        <f>""</f>
        <v/>
      </c>
      <c r="BY51" t="str">
        <f>""</f>
        <v/>
      </c>
      <c r="BZ51" t="str">
        <f>""</f>
        <v/>
      </c>
      <c r="CA51" t="str">
        <f>""</f>
        <v/>
      </c>
      <c r="CB51" t="str">
        <f>""</f>
        <v/>
      </c>
      <c r="CC51" t="str">
        <f>""</f>
        <v/>
      </c>
      <c r="CD51" t="str">
        <f>""</f>
        <v/>
      </c>
      <c r="CE51" t="str">
        <f>""</f>
        <v/>
      </c>
      <c r="CF51" t="str">
        <f>""</f>
        <v/>
      </c>
      <c r="CG51" t="str">
        <f>""</f>
        <v/>
      </c>
      <c r="CH51" t="str">
        <f>""</f>
        <v/>
      </c>
      <c r="CI51" t="str">
        <f>""</f>
        <v/>
      </c>
      <c r="CJ51" t="str">
        <f>""</f>
        <v/>
      </c>
      <c r="CK51" t="str">
        <f>""</f>
        <v/>
      </c>
      <c r="CL51" t="str">
        <f>""</f>
        <v/>
      </c>
      <c r="CM51" t="str">
        <f>""</f>
        <v/>
      </c>
      <c r="CN51" t="str">
        <f>""</f>
        <v/>
      </c>
      <c r="CO51" t="str">
        <f>""</f>
        <v/>
      </c>
      <c r="CP51" t="str">
        <f>""</f>
        <v/>
      </c>
      <c r="CQ51" t="str">
        <f>""</f>
        <v/>
      </c>
      <c r="CR51" t="str">
        <f>""</f>
        <v/>
      </c>
      <c r="CS51" t="str">
        <f>""</f>
        <v/>
      </c>
      <c r="CT51" t="str">
        <f>""</f>
        <v/>
      </c>
      <c r="CU51" t="str">
        <f>""</f>
        <v/>
      </c>
      <c r="CV51" t="str">
        <f>""</f>
        <v/>
      </c>
      <c r="CW51" t="str">
        <f>""</f>
        <v/>
      </c>
      <c r="CX51" t="str">
        <f>""</f>
        <v/>
      </c>
      <c r="CY51" t="str">
        <f>""</f>
        <v/>
      </c>
      <c r="CZ51" t="str">
        <f>""</f>
        <v/>
      </c>
      <c r="DA51" t="str">
        <f>""</f>
        <v/>
      </c>
      <c r="DB51" t="str">
        <f>""</f>
        <v/>
      </c>
      <c r="DC51" t="str">
        <f>""</f>
        <v/>
      </c>
      <c r="DD51" t="str">
        <f>""</f>
        <v/>
      </c>
      <c r="DE51" t="str">
        <f>""</f>
        <v/>
      </c>
      <c r="DF51" t="str">
        <f>""</f>
        <v/>
      </c>
      <c r="DG51" t="str">
        <f>""</f>
        <v/>
      </c>
      <c r="DH51" t="str">
        <f>""</f>
        <v/>
      </c>
      <c r="DI51" t="str">
        <f>""</f>
        <v/>
      </c>
      <c r="DJ51" t="str">
        <f>""</f>
        <v/>
      </c>
      <c r="DK51" t="str">
        <f>""</f>
        <v/>
      </c>
      <c r="DL51" t="str">
        <f>""</f>
        <v/>
      </c>
      <c r="DM51" t="str">
        <f>""</f>
        <v/>
      </c>
      <c r="DN51" t="str">
        <f>""</f>
        <v/>
      </c>
      <c r="DO51" t="str">
        <f>""</f>
        <v/>
      </c>
      <c r="DP51" t="str">
        <f>""</f>
        <v/>
      </c>
      <c r="DQ51" t="str">
        <f>""</f>
        <v/>
      </c>
      <c r="DR51" t="str">
        <f>""</f>
        <v/>
      </c>
      <c r="DS51" t="str">
        <f>""</f>
        <v/>
      </c>
    </row>
    <row r="52" spans="1:123" x14ac:dyDescent="0.25">
      <c r="A52" t="str">
        <f>"End Date"</f>
        <v>End Date</v>
      </c>
      <c r="B52">
        <f ca="1">TODAY()</f>
        <v>43524</v>
      </c>
      <c r="BM52" t="str">
        <f>""</f>
        <v/>
      </c>
      <c r="BN52" t="str">
        <f>""</f>
        <v/>
      </c>
      <c r="BO52" t="str">
        <f>""</f>
        <v/>
      </c>
      <c r="BP52" t="str">
        <f>""</f>
        <v/>
      </c>
      <c r="BQ52" t="str">
        <f>""</f>
        <v/>
      </c>
      <c r="BR52" t="str">
        <f>""</f>
        <v/>
      </c>
      <c r="BS52" t="str">
        <f>""</f>
        <v/>
      </c>
      <c r="BT52" t="str">
        <f>""</f>
        <v/>
      </c>
      <c r="BU52" t="str">
        <f>""</f>
        <v/>
      </c>
      <c r="BV52" t="str">
        <f>""</f>
        <v/>
      </c>
      <c r="BW52" t="str">
        <f>""</f>
        <v/>
      </c>
      <c r="BX52" t="str">
        <f>""</f>
        <v/>
      </c>
      <c r="BY52" t="str">
        <f>""</f>
        <v/>
      </c>
      <c r="BZ52" t="str">
        <f>""</f>
        <v/>
      </c>
      <c r="CA52" t="str">
        <f>""</f>
        <v/>
      </c>
      <c r="CB52" t="str">
        <f>""</f>
        <v/>
      </c>
      <c r="CC52" t="str">
        <f>""</f>
        <v/>
      </c>
      <c r="CD52" t="str">
        <f>""</f>
        <v/>
      </c>
      <c r="CE52" t="str">
        <f>""</f>
        <v/>
      </c>
      <c r="CF52" t="str">
        <f>""</f>
        <v/>
      </c>
      <c r="CG52" t="str">
        <f>""</f>
        <v/>
      </c>
      <c r="CH52" t="str">
        <f>""</f>
        <v/>
      </c>
      <c r="CI52" t="str">
        <f>""</f>
        <v/>
      </c>
      <c r="CJ52" t="str">
        <f>""</f>
        <v/>
      </c>
      <c r="CK52" t="str">
        <f>""</f>
        <v/>
      </c>
      <c r="CL52" t="str">
        <f>""</f>
        <v/>
      </c>
      <c r="CM52" t="str">
        <f>""</f>
        <v/>
      </c>
      <c r="CN52" t="str">
        <f>""</f>
        <v/>
      </c>
      <c r="CO52" t="str">
        <f>""</f>
        <v/>
      </c>
      <c r="CP52" t="str">
        <f>""</f>
        <v/>
      </c>
      <c r="CQ52" t="str">
        <f>""</f>
        <v/>
      </c>
      <c r="CR52" t="str">
        <f>""</f>
        <v/>
      </c>
      <c r="CS52" t="str">
        <f>""</f>
        <v/>
      </c>
      <c r="CT52" t="str">
        <f>""</f>
        <v/>
      </c>
      <c r="CU52" t="str">
        <f>""</f>
        <v/>
      </c>
      <c r="CV52" t="str">
        <f>""</f>
        <v/>
      </c>
      <c r="CW52" t="str">
        <f>""</f>
        <v/>
      </c>
      <c r="CX52" t="str">
        <f>""</f>
        <v/>
      </c>
      <c r="CY52" t="str">
        <f>""</f>
        <v/>
      </c>
      <c r="CZ52" t="str">
        <f>""</f>
        <v/>
      </c>
      <c r="DA52" t="str">
        <f>""</f>
        <v/>
      </c>
      <c r="DB52" t="str">
        <f>""</f>
        <v/>
      </c>
      <c r="DC52" t="str">
        <f>""</f>
        <v/>
      </c>
      <c r="DD52" t="str">
        <f>""</f>
        <v/>
      </c>
      <c r="DE52" t="str">
        <f>""</f>
        <v/>
      </c>
      <c r="DF52" t="str">
        <f>""</f>
        <v/>
      </c>
      <c r="DG52" t="str">
        <f>""</f>
        <v/>
      </c>
      <c r="DH52" t="str">
        <f>""</f>
        <v/>
      </c>
      <c r="DI52" t="str">
        <f>""</f>
        <v/>
      </c>
      <c r="DJ52" t="str">
        <f>""</f>
        <v/>
      </c>
      <c r="DK52" t="str">
        <f>""</f>
        <v/>
      </c>
      <c r="DL52" t="str">
        <f>""</f>
        <v/>
      </c>
      <c r="DM52" t="str">
        <f>""</f>
        <v/>
      </c>
      <c r="DN52" t="str">
        <f>""</f>
        <v/>
      </c>
      <c r="DO52" t="str">
        <f>""</f>
        <v/>
      </c>
      <c r="DP52" t="str">
        <f>""</f>
        <v/>
      </c>
      <c r="DQ52" t="str">
        <f>""</f>
        <v/>
      </c>
      <c r="DR52" t="str">
        <f>""</f>
        <v/>
      </c>
      <c r="DS52" t="str">
        <f>""</f>
        <v/>
      </c>
    </row>
    <row r="53" spans="1:123" x14ac:dyDescent="0.25">
      <c r="A53" t="str">
        <f>"HeaderStatus"</f>
        <v>HeaderStatus</v>
      </c>
      <c r="B53">
        <f ca="1">$B$108*$B$116</f>
        <v>4</v>
      </c>
      <c r="BM53" t="str">
        <f>""</f>
        <v/>
      </c>
      <c r="BN53" t="str">
        <f>""</f>
        <v/>
      </c>
      <c r="BO53" t="str">
        <f>""</f>
        <v/>
      </c>
      <c r="BP53" t="str">
        <f>""</f>
        <v/>
      </c>
      <c r="BQ53" t="str">
        <f>""</f>
        <v/>
      </c>
      <c r="BR53" t="str">
        <f>""</f>
        <v/>
      </c>
      <c r="BS53" t="str">
        <f>""</f>
        <v/>
      </c>
      <c r="BT53" t="str">
        <f>""</f>
        <v/>
      </c>
      <c r="BU53" t="str">
        <f>""</f>
        <v/>
      </c>
      <c r="BV53" t="str">
        <f>""</f>
        <v/>
      </c>
      <c r="BW53" t="str">
        <f>""</f>
        <v/>
      </c>
      <c r="BX53" t="str">
        <f>""</f>
        <v/>
      </c>
      <c r="BY53" t="str">
        <f>""</f>
        <v/>
      </c>
      <c r="BZ53" t="str">
        <f>""</f>
        <v/>
      </c>
      <c r="CA53" t="str">
        <f>""</f>
        <v/>
      </c>
      <c r="CB53" t="str">
        <f>""</f>
        <v/>
      </c>
      <c r="CC53" t="str">
        <f>""</f>
        <v/>
      </c>
      <c r="CD53" t="str">
        <f>""</f>
        <v/>
      </c>
      <c r="CE53" t="str">
        <f>""</f>
        <v/>
      </c>
      <c r="CF53" t="str">
        <f>""</f>
        <v/>
      </c>
      <c r="CG53" t="str">
        <f>""</f>
        <v/>
      </c>
      <c r="CH53" t="str">
        <f>""</f>
        <v/>
      </c>
      <c r="CI53" t="str">
        <f>""</f>
        <v/>
      </c>
      <c r="CJ53" t="str">
        <f>""</f>
        <v/>
      </c>
      <c r="CK53" t="str">
        <f>""</f>
        <v/>
      </c>
      <c r="CL53" t="str">
        <f>""</f>
        <v/>
      </c>
      <c r="CM53" t="str">
        <f>""</f>
        <v/>
      </c>
      <c r="CN53" t="str">
        <f>""</f>
        <v/>
      </c>
      <c r="CO53" t="str">
        <f>""</f>
        <v/>
      </c>
      <c r="CP53" t="str">
        <f>""</f>
        <v/>
      </c>
      <c r="CQ53" t="str">
        <f>""</f>
        <v/>
      </c>
      <c r="CR53" t="str">
        <f>""</f>
        <v/>
      </c>
      <c r="CS53" t="str">
        <f>""</f>
        <v/>
      </c>
      <c r="CT53" t="str">
        <f>""</f>
        <v/>
      </c>
      <c r="CU53" t="str">
        <f>""</f>
        <v/>
      </c>
      <c r="CV53" t="str">
        <f>""</f>
        <v/>
      </c>
      <c r="CW53" t="str">
        <f>""</f>
        <v/>
      </c>
      <c r="CX53" t="str">
        <f>""</f>
        <v/>
      </c>
      <c r="CY53" t="str">
        <f>""</f>
        <v/>
      </c>
      <c r="CZ53" t="str">
        <f>""</f>
        <v/>
      </c>
      <c r="DA53" t="str">
        <f>""</f>
        <v/>
      </c>
      <c r="DB53" t="str">
        <f>""</f>
        <v/>
      </c>
      <c r="DC53" t="str">
        <f>""</f>
        <v/>
      </c>
      <c r="DD53" t="str">
        <f>""</f>
        <v/>
      </c>
      <c r="DE53" t="str">
        <f>""</f>
        <v/>
      </c>
      <c r="DF53" t="str">
        <f>""</f>
        <v/>
      </c>
      <c r="DG53" t="str">
        <f>""</f>
        <v/>
      </c>
      <c r="DH53" t="str">
        <f>""</f>
        <v/>
      </c>
      <c r="DI53" t="str">
        <f>""</f>
        <v/>
      </c>
      <c r="DJ53" t="str">
        <f>""</f>
        <v/>
      </c>
      <c r="DK53" t="str">
        <f>""</f>
        <v/>
      </c>
      <c r="DL53" t="str">
        <f>""</f>
        <v/>
      </c>
      <c r="DM53" t="str">
        <f>""</f>
        <v/>
      </c>
      <c r="DN53" t="str">
        <f>""</f>
        <v/>
      </c>
      <c r="DO53" t="str">
        <f>""</f>
        <v/>
      </c>
      <c r="DP53" t="str">
        <f>""</f>
        <v/>
      </c>
      <c r="DQ53" t="str">
        <f>""</f>
        <v/>
      </c>
      <c r="DR53" t="str">
        <f>""</f>
        <v/>
      </c>
      <c r="DS53" t="str">
        <f>""</f>
        <v/>
      </c>
    </row>
    <row r="54" spans="1:123" x14ac:dyDescent="0.25">
      <c r="BM54" t="str">
        <f>""</f>
        <v/>
      </c>
      <c r="BN54" t="str">
        <f>""</f>
        <v/>
      </c>
      <c r="BO54" t="str">
        <f>""</f>
        <v/>
      </c>
      <c r="BP54" t="str">
        <f>""</f>
        <v/>
      </c>
      <c r="BQ54" t="str">
        <f>""</f>
        <v/>
      </c>
      <c r="BR54" t="str">
        <f>""</f>
        <v/>
      </c>
      <c r="BS54" t="str">
        <f>""</f>
        <v/>
      </c>
      <c r="BT54" t="str">
        <f>""</f>
        <v/>
      </c>
      <c r="BU54" t="str">
        <f>""</f>
        <v/>
      </c>
      <c r="BV54" t="str">
        <f>""</f>
        <v/>
      </c>
      <c r="BW54" t="str">
        <f>""</f>
        <v/>
      </c>
      <c r="BX54" t="str">
        <f>""</f>
        <v/>
      </c>
      <c r="BY54" t="str">
        <f>""</f>
        <v/>
      </c>
      <c r="BZ54" t="str">
        <f>""</f>
        <v/>
      </c>
      <c r="CA54" t="str">
        <f>""</f>
        <v/>
      </c>
      <c r="CB54" t="str">
        <f>""</f>
        <v/>
      </c>
      <c r="CC54" t="str">
        <f>""</f>
        <v/>
      </c>
      <c r="CD54" t="str">
        <f>""</f>
        <v/>
      </c>
      <c r="CE54" t="str">
        <f>""</f>
        <v/>
      </c>
      <c r="CF54" t="str">
        <f>""</f>
        <v/>
      </c>
      <c r="CG54" t="str">
        <f>""</f>
        <v/>
      </c>
      <c r="CH54" t="str">
        <f>""</f>
        <v/>
      </c>
      <c r="CI54" t="str">
        <f>""</f>
        <v/>
      </c>
      <c r="CJ54" t="str">
        <f>""</f>
        <v/>
      </c>
      <c r="CK54" t="str">
        <f>""</f>
        <v/>
      </c>
      <c r="CL54" t="str">
        <f>""</f>
        <v/>
      </c>
      <c r="CM54" t="str">
        <f>""</f>
        <v/>
      </c>
      <c r="CN54" t="str">
        <f>""</f>
        <v/>
      </c>
      <c r="CO54" t="str">
        <f>""</f>
        <v/>
      </c>
      <c r="CP54" t="str">
        <f>""</f>
        <v/>
      </c>
      <c r="CQ54" t="str">
        <f>""</f>
        <v/>
      </c>
      <c r="CR54" t="str">
        <f>""</f>
        <v/>
      </c>
      <c r="CS54" t="str">
        <f>""</f>
        <v/>
      </c>
      <c r="CT54" t="str">
        <f>""</f>
        <v/>
      </c>
      <c r="CU54" t="str">
        <f>""</f>
        <v/>
      </c>
      <c r="CV54" t="str">
        <f>""</f>
        <v/>
      </c>
      <c r="CW54" t="str">
        <f>""</f>
        <v/>
      </c>
      <c r="CX54" t="str">
        <f>""</f>
        <v/>
      </c>
      <c r="CY54" t="str">
        <f>""</f>
        <v/>
      </c>
      <c r="CZ54" t="str">
        <f>""</f>
        <v/>
      </c>
      <c r="DA54" t="str">
        <f>""</f>
        <v/>
      </c>
      <c r="DB54" t="str">
        <f>""</f>
        <v/>
      </c>
      <c r="DC54" t="str">
        <f>""</f>
        <v/>
      </c>
      <c r="DD54" t="str">
        <f>""</f>
        <v/>
      </c>
      <c r="DE54" t="str">
        <f>""</f>
        <v/>
      </c>
      <c r="DF54" t="str">
        <f>""</f>
        <v/>
      </c>
      <c r="DG54" t="str">
        <f>""</f>
        <v/>
      </c>
      <c r="DH54" t="str">
        <f>""</f>
        <v/>
      </c>
      <c r="DI54" t="str">
        <f>""</f>
        <v/>
      </c>
      <c r="DJ54" t="str">
        <f>""</f>
        <v/>
      </c>
      <c r="DK54" t="str">
        <f>""</f>
        <v/>
      </c>
      <c r="DL54" t="str">
        <f>""</f>
        <v/>
      </c>
      <c r="DM54" t="str">
        <f>""</f>
        <v/>
      </c>
      <c r="DN54" t="str">
        <f>""</f>
        <v/>
      </c>
      <c r="DO54" t="str">
        <f>""</f>
        <v/>
      </c>
      <c r="DP54" t="str">
        <f>""</f>
        <v/>
      </c>
      <c r="DQ54" t="str">
        <f>""</f>
        <v/>
      </c>
      <c r="DR54" t="str">
        <f>""</f>
        <v/>
      </c>
      <c r="DS54" t="str">
        <f>""</f>
        <v/>
      </c>
    </row>
    <row r="55" spans="1:123" x14ac:dyDescent="0.25">
      <c r="A55" t="str">
        <f>$A$3</f>
        <v>By Geography ($M) - Toyota</v>
      </c>
      <c r="B55" t="str">
        <f>$B$3</f>
        <v>7203 JP Equity</v>
      </c>
      <c r="C55" t="str">
        <f>$C$3</f>
        <v>IS010</v>
      </c>
      <c r="D55" t="str">
        <f>$D$3</f>
        <v>SALES_REV_TURN</v>
      </c>
      <c r="E55" t="str">
        <f>$E$3</f>
        <v>Dynamic</v>
      </c>
      <c r="F55" t="str">
        <f ca="1">_xll.BDH($B$3,$C$3,$B$51,$B$52,CONCATENATE("Per=",$B$49),"Dts=H","Dir=H",CONCATENATE("Points=",$B$50),"Sort=R","Days=A","Fill=B",CONCATENATE("FX=", $B$48) )</f>
        <v>#N/A Connection</v>
      </c>
      <c r="BM55" t="str">
        <f>""</f>
        <v/>
      </c>
      <c r="BN55" t="str">
        <f>""</f>
        <v/>
      </c>
      <c r="BO55" t="str">
        <f>""</f>
        <v/>
      </c>
      <c r="BP55" t="str">
        <f>""</f>
        <v/>
      </c>
      <c r="BQ55" t="str">
        <f>""</f>
        <v/>
      </c>
      <c r="BR55" t="str">
        <f>""</f>
        <v/>
      </c>
      <c r="BS55" t="str">
        <f>""</f>
        <v/>
      </c>
      <c r="BT55" t="str">
        <f>""</f>
        <v/>
      </c>
      <c r="BU55" t="str">
        <f>""</f>
        <v/>
      </c>
      <c r="BV55" t="str">
        <f>""</f>
        <v/>
      </c>
      <c r="BW55" t="str">
        <f>""</f>
        <v/>
      </c>
      <c r="BX55" t="str">
        <f>""</f>
        <v/>
      </c>
      <c r="BY55" t="str">
        <f>""</f>
        <v/>
      </c>
      <c r="BZ55" t="str">
        <f>""</f>
        <v/>
      </c>
      <c r="CA55" t="str">
        <f>""</f>
        <v/>
      </c>
      <c r="CB55" t="str">
        <f>""</f>
        <v/>
      </c>
      <c r="CC55" t="str">
        <f>""</f>
        <v/>
      </c>
      <c r="CD55" t="str">
        <f>""</f>
        <v/>
      </c>
      <c r="CE55" t="str">
        <f>""</f>
        <v/>
      </c>
      <c r="CF55" t="str">
        <f>""</f>
        <v/>
      </c>
      <c r="CG55" t="str">
        <f>""</f>
        <v/>
      </c>
      <c r="CH55" t="str">
        <f>""</f>
        <v/>
      </c>
      <c r="CI55" t="str">
        <f>""</f>
        <v/>
      </c>
      <c r="CJ55" t="str">
        <f>""</f>
        <v/>
      </c>
      <c r="CK55" t="str">
        <f>""</f>
        <v/>
      </c>
      <c r="CL55" t="str">
        <f>""</f>
        <v/>
      </c>
      <c r="CM55" t="str">
        <f>""</f>
        <v/>
      </c>
      <c r="CN55" t="str">
        <f>""</f>
        <v/>
      </c>
      <c r="CO55" t="str">
        <f>""</f>
        <v/>
      </c>
      <c r="CP55" t="str">
        <f>""</f>
        <v/>
      </c>
      <c r="CQ55" t="str">
        <f>""</f>
        <v/>
      </c>
      <c r="CR55" t="str">
        <f>""</f>
        <v/>
      </c>
      <c r="CS55" t="str">
        <f>""</f>
        <v/>
      </c>
      <c r="CT55" t="str">
        <f>""</f>
        <v/>
      </c>
      <c r="CU55" t="str">
        <f>""</f>
        <v/>
      </c>
      <c r="CV55" t="str">
        <f>""</f>
        <v/>
      </c>
      <c r="CW55" t="str">
        <f>""</f>
        <v/>
      </c>
      <c r="CX55" t="str">
        <f>""</f>
        <v/>
      </c>
      <c r="CY55" t="str">
        <f>""</f>
        <v/>
      </c>
      <c r="CZ55" t="str">
        <f>""</f>
        <v/>
      </c>
      <c r="DA55" t="str">
        <f>""</f>
        <v/>
      </c>
      <c r="DB55" t="str">
        <f>""</f>
        <v/>
      </c>
      <c r="DC55" t="str">
        <f>""</f>
        <v/>
      </c>
      <c r="DD55" t="str">
        <f>""</f>
        <v/>
      </c>
      <c r="DE55" t="str">
        <f>""</f>
        <v/>
      </c>
      <c r="DF55" t="str">
        <f>""</f>
        <v/>
      </c>
      <c r="DG55" t="str">
        <f>""</f>
        <v/>
      </c>
      <c r="DH55" t="str">
        <f>""</f>
        <v/>
      </c>
      <c r="DI55" t="str">
        <f>""</f>
        <v/>
      </c>
      <c r="DJ55" t="str">
        <f>""</f>
        <v/>
      </c>
      <c r="DK55" t="str">
        <f>""</f>
        <v/>
      </c>
      <c r="DL55" t="str">
        <f>""</f>
        <v/>
      </c>
      <c r="DM55" t="str">
        <f>""</f>
        <v/>
      </c>
      <c r="DN55" t="str">
        <f>""</f>
        <v/>
      </c>
      <c r="DO55" t="str">
        <f>""</f>
        <v/>
      </c>
      <c r="DP55" t="str">
        <f>""</f>
        <v/>
      </c>
      <c r="DQ55" t="str">
        <f>""</f>
        <v/>
      </c>
      <c r="DR55" t="str">
        <f>""</f>
        <v/>
      </c>
      <c r="DS55" t="str">
        <f>""</f>
        <v/>
      </c>
    </row>
    <row r="56" spans="1:123" x14ac:dyDescent="0.25">
      <c r="A56" t="str">
        <f>$A$4</f>
        <v xml:space="preserve">        North America</v>
      </c>
      <c r="B56" t="str">
        <f>$B$4</f>
        <v>7203 JP Equity</v>
      </c>
      <c r="C56" t="str">
        <f>$C$4</f>
        <v>BI047</v>
      </c>
      <c r="D56" t="str">
        <f>$D$4</f>
        <v>BICS_SEGMENT_DATA</v>
      </c>
      <c r="E56" t="str">
        <f>$E$4</f>
        <v>Dynamic</v>
      </c>
      <c r="F56" t="str">
        <f ca="1">_xll.BDH($B$4,$C$4,$B$51,$B$52,CONCATENATE("Per=",$B$49),"Dts=H","Dir=H",CONCATENATE("Points=",$B$50),"Sort=R","Days=A","Fill=B","DZ666=001","X0001=NA00","DZ667=1","DS276=Y",CONCATENATE("FX=", $B$48) )</f>
        <v>#N/A Connection</v>
      </c>
      <c r="BM56" t="str">
        <f>""</f>
        <v/>
      </c>
      <c r="BN56" t="str">
        <f>""</f>
        <v/>
      </c>
      <c r="BO56" t="str">
        <f>""</f>
        <v/>
      </c>
      <c r="BP56" t="str">
        <f>""</f>
        <v/>
      </c>
      <c r="BQ56" t="str">
        <f>""</f>
        <v/>
      </c>
      <c r="BR56" t="str">
        <f>""</f>
        <v/>
      </c>
      <c r="BS56" t="str">
        <f>""</f>
        <v/>
      </c>
      <c r="BT56" t="str">
        <f>""</f>
        <v/>
      </c>
      <c r="BU56" t="str">
        <f>""</f>
        <v/>
      </c>
      <c r="BV56" t="str">
        <f>""</f>
        <v/>
      </c>
      <c r="BW56" t="str">
        <f>""</f>
        <v/>
      </c>
      <c r="BX56" t="str">
        <f>""</f>
        <v/>
      </c>
      <c r="BY56" t="str">
        <f>""</f>
        <v/>
      </c>
      <c r="BZ56" t="str">
        <f>""</f>
        <v/>
      </c>
      <c r="CA56" t="str">
        <f>""</f>
        <v/>
      </c>
      <c r="CB56" t="str">
        <f>""</f>
        <v/>
      </c>
      <c r="CC56" t="str">
        <f>""</f>
        <v/>
      </c>
      <c r="CD56" t="str">
        <f>""</f>
        <v/>
      </c>
      <c r="CE56" t="str">
        <f>""</f>
        <v/>
      </c>
      <c r="CF56" t="str">
        <f>""</f>
        <v/>
      </c>
      <c r="CG56" t="str">
        <f>""</f>
        <v/>
      </c>
      <c r="CH56" t="str">
        <f>""</f>
        <v/>
      </c>
      <c r="CI56" t="str">
        <f>""</f>
        <v/>
      </c>
      <c r="CJ56" t="str">
        <f>""</f>
        <v/>
      </c>
      <c r="CK56" t="str">
        <f>""</f>
        <v/>
      </c>
      <c r="CL56" t="str">
        <f>""</f>
        <v/>
      </c>
      <c r="CM56" t="str">
        <f>""</f>
        <v/>
      </c>
      <c r="CN56" t="str">
        <f>""</f>
        <v/>
      </c>
      <c r="CO56" t="str">
        <f>""</f>
        <v/>
      </c>
      <c r="CP56" t="str">
        <f>""</f>
        <v/>
      </c>
      <c r="CQ56" t="str">
        <f>""</f>
        <v/>
      </c>
      <c r="CR56" t="str">
        <f>""</f>
        <v/>
      </c>
      <c r="CS56" t="str">
        <f>""</f>
        <v/>
      </c>
      <c r="CT56" t="str">
        <f>""</f>
        <v/>
      </c>
      <c r="CU56" t="str">
        <f>""</f>
        <v/>
      </c>
      <c r="CV56" t="str">
        <f>""</f>
        <v/>
      </c>
      <c r="CW56" t="str">
        <f>""</f>
        <v/>
      </c>
      <c r="CX56" t="str">
        <f>""</f>
        <v/>
      </c>
      <c r="CY56" t="str">
        <f>""</f>
        <v/>
      </c>
      <c r="CZ56" t="str">
        <f>""</f>
        <v/>
      </c>
      <c r="DA56" t="str">
        <f>""</f>
        <v/>
      </c>
      <c r="DB56" t="str">
        <f>""</f>
        <v/>
      </c>
      <c r="DC56" t="str">
        <f>""</f>
        <v/>
      </c>
      <c r="DD56" t="str">
        <f>""</f>
        <v/>
      </c>
      <c r="DE56" t="str">
        <f>""</f>
        <v/>
      </c>
      <c r="DF56" t="str">
        <f>""</f>
        <v/>
      </c>
      <c r="DG56" t="str">
        <f>""</f>
        <v/>
      </c>
      <c r="DH56" t="str">
        <f>""</f>
        <v/>
      </c>
      <c r="DI56" t="str">
        <f>""</f>
        <v/>
      </c>
      <c r="DJ56" t="str">
        <f>""</f>
        <v/>
      </c>
      <c r="DK56" t="str">
        <f>""</f>
        <v/>
      </c>
      <c r="DL56" t="str">
        <f>""</f>
        <v/>
      </c>
      <c r="DM56" t="str">
        <f>""</f>
        <v/>
      </c>
      <c r="DN56" t="str">
        <f>""</f>
        <v/>
      </c>
      <c r="DO56" t="str">
        <f>""</f>
        <v/>
      </c>
      <c r="DP56" t="str">
        <f>""</f>
        <v/>
      </c>
      <c r="DQ56" t="str">
        <f>""</f>
        <v/>
      </c>
      <c r="DR56" t="str">
        <f>""</f>
        <v/>
      </c>
      <c r="DS56" t="str">
        <f>""</f>
        <v/>
      </c>
    </row>
    <row r="57" spans="1:123" x14ac:dyDescent="0.25">
      <c r="A57" t="str">
        <f>$A$5</f>
        <v>By Geography ($M) - Volkswagen</v>
      </c>
      <c r="B57" t="str">
        <f>$B$5</f>
        <v>VOW GR Equity</v>
      </c>
      <c r="C57" t="str">
        <f>$C$5</f>
        <v>IS010</v>
      </c>
      <c r="D57" t="str">
        <f>$D$5</f>
        <v>SALES_REV_TURN</v>
      </c>
      <c r="E57" t="str">
        <f>$E$5</f>
        <v>Dynamic</v>
      </c>
      <c r="F57" t="str">
        <f ca="1">_xll.BDH($B$5,$C$5,$B$51,$B$52,CONCATENATE("Per=",$B$49),"Dts=H","Dir=H",CONCATENATE("Points=",$B$50),"Sort=R","Days=A","Fill=B",CONCATENATE("FX=", $B$48) )</f>
        <v>#N/A Connection</v>
      </c>
      <c r="BM57" t="str">
        <f>""</f>
        <v/>
      </c>
      <c r="BN57" t="str">
        <f>""</f>
        <v/>
      </c>
      <c r="BO57" t="str">
        <f>""</f>
        <v/>
      </c>
      <c r="BP57" t="str">
        <f>""</f>
        <v/>
      </c>
      <c r="BQ57" t="str">
        <f>""</f>
        <v/>
      </c>
      <c r="BR57" t="str">
        <f>""</f>
        <v/>
      </c>
      <c r="BS57" t="str">
        <f>""</f>
        <v/>
      </c>
      <c r="BT57" t="str">
        <f>""</f>
        <v/>
      </c>
      <c r="BU57" t="str">
        <f>""</f>
        <v/>
      </c>
      <c r="BV57" t="str">
        <f>""</f>
        <v/>
      </c>
      <c r="BW57" t="str">
        <f>""</f>
        <v/>
      </c>
      <c r="BX57" t="str">
        <f>""</f>
        <v/>
      </c>
      <c r="BY57" t="str">
        <f>""</f>
        <v/>
      </c>
      <c r="BZ57" t="str">
        <f>""</f>
        <v/>
      </c>
      <c r="CA57" t="str">
        <f>""</f>
        <v/>
      </c>
      <c r="CB57" t="str">
        <f>""</f>
        <v/>
      </c>
      <c r="CC57" t="str">
        <f>""</f>
        <v/>
      </c>
      <c r="CD57" t="str">
        <f>""</f>
        <v/>
      </c>
      <c r="CE57" t="str">
        <f>""</f>
        <v/>
      </c>
      <c r="CF57" t="str">
        <f>""</f>
        <v/>
      </c>
      <c r="CG57" t="str">
        <f>""</f>
        <v/>
      </c>
      <c r="CH57" t="str">
        <f>""</f>
        <v/>
      </c>
      <c r="CI57" t="str">
        <f>""</f>
        <v/>
      </c>
      <c r="CJ57" t="str">
        <f>""</f>
        <v/>
      </c>
      <c r="CK57" t="str">
        <f>""</f>
        <v/>
      </c>
      <c r="CL57" t="str">
        <f>""</f>
        <v/>
      </c>
      <c r="CM57" t="str">
        <f>""</f>
        <v/>
      </c>
      <c r="CN57" t="str">
        <f>""</f>
        <v/>
      </c>
      <c r="CO57" t="str">
        <f>""</f>
        <v/>
      </c>
      <c r="CP57" t="str">
        <f>""</f>
        <v/>
      </c>
      <c r="CQ57" t="str">
        <f>""</f>
        <v/>
      </c>
      <c r="CR57" t="str">
        <f>""</f>
        <v/>
      </c>
      <c r="CS57" t="str">
        <f>""</f>
        <v/>
      </c>
      <c r="CT57" t="str">
        <f>""</f>
        <v/>
      </c>
      <c r="CU57" t="str">
        <f>""</f>
        <v/>
      </c>
      <c r="CV57" t="str">
        <f>""</f>
        <v/>
      </c>
      <c r="CW57" t="str">
        <f>""</f>
        <v/>
      </c>
      <c r="CX57" t="str">
        <f>""</f>
        <v/>
      </c>
      <c r="CY57" t="str">
        <f>""</f>
        <v/>
      </c>
      <c r="CZ57" t="str">
        <f>""</f>
        <v/>
      </c>
      <c r="DA57" t="str">
        <f>""</f>
        <v/>
      </c>
      <c r="DB57" t="str">
        <f>""</f>
        <v/>
      </c>
      <c r="DC57" t="str">
        <f>""</f>
        <v/>
      </c>
      <c r="DD57" t="str">
        <f>""</f>
        <v/>
      </c>
      <c r="DE57" t="str">
        <f>""</f>
        <v/>
      </c>
      <c r="DF57" t="str">
        <f>""</f>
        <v/>
      </c>
      <c r="DG57" t="str">
        <f>""</f>
        <v/>
      </c>
      <c r="DH57" t="str">
        <f>""</f>
        <v/>
      </c>
      <c r="DI57" t="str">
        <f>""</f>
        <v/>
      </c>
      <c r="DJ57" t="str">
        <f>""</f>
        <v/>
      </c>
      <c r="DK57" t="str">
        <f>""</f>
        <v/>
      </c>
      <c r="DL57" t="str">
        <f>""</f>
        <v/>
      </c>
      <c r="DM57" t="str">
        <f>""</f>
        <v/>
      </c>
      <c r="DN57" t="str">
        <f>""</f>
        <v/>
      </c>
      <c r="DO57" t="str">
        <f>""</f>
        <v/>
      </c>
      <c r="DP57" t="str">
        <f>""</f>
        <v/>
      </c>
      <c r="DQ57" t="str">
        <f>""</f>
        <v/>
      </c>
      <c r="DR57" t="str">
        <f>""</f>
        <v/>
      </c>
      <c r="DS57" t="str">
        <f>""</f>
        <v/>
      </c>
    </row>
    <row r="58" spans="1:123" x14ac:dyDescent="0.25">
      <c r="A58" t="str">
        <f>$A$6</f>
        <v xml:space="preserve">        North America</v>
      </c>
      <c r="B58" t="str">
        <f>$B$6</f>
        <v>VOW GR Equity</v>
      </c>
      <c r="C58" t="str">
        <f>$C$6</f>
        <v>BI047</v>
      </c>
      <c r="D58" t="str">
        <f>$D$6</f>
        <v>BICS_SEGMENT_DATA</v>
      </c>
      <c r="E58" t="str">
        <f>$E$6</f>
        <v>Dynamic</v>
      </c>
      <c r="F58" t="str">
        <f ca="1">_xll.BDH($B$6,$C$6,$B$51,$B$52,CONCATENATE("Per=",$B$49),"Dts=H","Dir=H",CONCATENATE("Points=",$B$50),"Sort=R","Days=A","Fill=B","DZ666=001","X0001=NA00","DZ667=1","DS276=Y",CONCATENATE("FX=", $B$48) )</f>
        <v>#N/A Connection</v>
      </c>
      <c r="BM58" t="str">
        <f>""</f>
        <v/>
      </c>
      <c r="BN58" t="str">
        <f>""</f>
        <v/>
      </c>
      <c r="BO58" t="str">
        <f>""</f>
        <v/>
      </c>
      <c r="BP58" t="str">
        <f>""</f>
        <v/>
      </c>
      <c r="BQ58" t="str">
        <f>""</f>
        <v/>
      </c>
      <c r="BR58" t="str">
        <f>""</f>
        <v/>
      </c>
      <c r="BS58" t="str">
        <f>""</f>
        <v/>
      </c>
      <c r="BT58" t="str">
        <f>""</f>
        <v/>
      </c>
      <c r="BU58" t="str">
        <f>""</f>
        <v/>
      </c>
      <c r="BV58" t="str">
        <f>""</f>
        <v/>
      </c>
      <c r="BW58" t="str">
        <f>""</f>
        <v/>
      </c>
      <c r="BX58" t="str">
        <f>""</f>
        <v/>
      </c>
      <c r="BY58" t="str">
        <f>""</f>
        <v/>
      </c>
      <c r="BZ58" t="str">
        <f>""</f>
        <v/>
      </c>
      <c r="CA58" t="str">
        <f>""</f>
        <v/>
      </c>
      <c r="CB58" t="str">
        <f>""</f>
        <v/>
      </c>
      <c r="CC58" t="str">
        <f>""</f>
        <v/>
      </c>
      <c r="CD58" t="str">
        <f>""</f>
        <v/>
      </c>
      <c r="CE58" t="str">
        <f>""</f>
        <v/>
      </c>
      <c r="CF58" t="str">
        <f>""</f>
        <v/>
      </c>
      <c r="CG58" t="str">
        <f>""</f>
        <v/>
      </c>
      <c r="CH58" t="str">
        <f>""</f>
        <v/>
      </c>
      <c r="CI58" t="str">
        <f>""</f>
        <v/>
      </c>
      <c r="CJ58" t="str">
        <f>""</f>
        <v/>
      </c>
      <c r="CK58" t="str">
        <f>""</f>
        <v/>
      </c>
      <c r="CL58" t="str">
        <f>""</f>
        <v/>
      </c>
      <c r="CM58" t="str">
        <f>""</f>
        <v/>
      </c>
      <c r="CN58" t="str">
        <f>""</f>
        <v/>
      </c>
      <c r="CO58" t="str">
        <f>""</f>
        <v/>
      </c>
      <c r="CP58" t="str">
        <f>""</f>
        <v/>
      </c>
      <c r="CQ58" t="str">
        <f>""</f>
        <v/>
      </c>
      <c r="CR58" t="str">
        <f>""</f>
        <v/>
      </c>
      <c r="CS58" t="str">
        <f>""</f>
        <v/>
      </c>
      <c r="CT58" t="str">
        <f>""</f>
        <v/>
      </c>
      <c r="CU58" t="str">
        <f>""</f>
        <v/>
      </c>
      <c r="CV58" t="str">
        <f>""</f>
        <v/>
      </c>
      <c r="CW58" t="str">
        <f>""</f>
        <v/>
      </c>
      <c r="CX58" t="str">
        <f>""</f>
        <v/>
      </c>
      <c r="CY58" t="str">
        <f>""</f>
        <v/>
      </c>
      <c r="CZ58" t="str">
        <f>""</f>
        <v/>
      </c>
      <c r="DA58" t="str">
        <f>""</f>
        <v/>
      </c>
      <c r="DB58" t="str">
        <f>""</f>
        <v/>
      </c>
      <c r="DC58" t="str">
        <f>""</f>
        <v/>
      </c>
      <c r="DD58" t="str">
        <f>""</f>
        <v/>
      </c>
      <c r="DE58" t="str">
        <f>""</f>
        <v/>
      </c>
      <c r="DF58" t="str">
        <f>""</f>
        <v/>
      </c>
      <c r="DG58" t="str">
        <f>""</f>
        <v/>
      </c>
      <c r="DH58" t="str">
        <f>""</f>
        <v/>
      </c>
      <c r="DI58" t="str">
        <f>""</f>
        <v/>
      </c>
      <c r="DJ58" t="str">
        <f>""</f>
        <v/>
      </c>
      <c r="DK58" t="str">
        <f>""</f>
        <v/>
      </c>
      <c r="DL58" t="str">
        <f>""</f>
        <v/>
      </c>
      <c r="DM58" t="str">
        <f>""</f>
        <v/>
      </c>
      <c r="DN58" t="str">
        <f>""</f>
        <v/>
      </c>
      <c r="DO58" t="str">
        <f>""</f>
        <v/>
      </c>
      <c r="DP58" t="str">
        <f>""</f>
        <v/>
      </c>
      <c r="DQ58" t="str">
        <f>""</f>
        <v/>
      </c>
      <c r="DR58" t="str">
        <f>""</f>
        <v/>
      </c>
      <c r="DS58" t="str">
        <f>""</f>
        <v/>
      </c>
    </row>
    <row r="59" spans="1:123" x14ac:dyDescent="0.25">
      <c r="A59" t="str">
        <f>$A$7</f>
        <v>By Geography ($M) - GM</v>
      </c>
      <c r="B59" t="str">
        <f>$B$7</f>
        <v>GM US Equity</v>
      </c>
      <c r="C59" t="str">
        <f>$C$7</f>
        <v>IS010</v>
      </c>
      <c r="D59" t="str">
        <f>$D$7</f>
        <v>SALES_REV_TURN</v>
      </c>
      <c r="E59" t="str">
        <f>$E$7</f>
        <v>Dynamic</v>
      </c>
      <c r="F59" t="str">
        <f ca="1">_xll.BDH($B$7,$C$7,$B$51,$B$52,CONCATENATE("Per=",$B$49),"Dts=H","Dir=H",CONCATENATE("Points=",$B$50),"Sort=R","Days=A","Fill=B",CONCATENATE("FX=", $B$48) )</f>
        <v>#N/A Connection</v>
      </c>
      <c r="BM59" t="str">
        <f>""</f>
        <v/>
      </c>
      <c r="BN59" t="str">
        <f>""</f>
        <v/>
      </c>
      <c r="BO59" t="str">
        <f>""</f>
        <v/>
      </c>
      <c r="BP59" t="str">
        <f>""</f>
        <v/>
      </c>
      <c r="BQ59" t="str">
        <f>""</f>
        <v/>
      </c>
      <c r="BR59" t="str">
        <f>""</f>
        <v/>
      </c>
      <c r="BS59" t="str">
        <f>""</f>
        <v/>
      </c>
      <c r="BT59" t="str">
        <f>""</f>
        <v/>
      </c>
      <c r="BU59" t="str">
        <f>""</f>
        <v/>
      </c>
      <c r="BV59" t="str">
        <f>""</f>
        <v/>
      </c>
      <c r="BW59" t="str">
        <f>""</f>
        <v/>
      </c>
      <c r="BX59" t="str">
        <f>""</f>
        <v/>
      </c>
      <c r="BY59" t="str">
        <f>""</f>
        <v/>
      </c>
      <c r="BZ59" t="str">
        <f>""</f>
        <v/>
      </c>
      <c r="CA59" t="str">
        <f>""</f>
        <v/>
      </c>
      <c r="CB59" t="str">
        <f>""</f>
        <v/>
      </c>
      <c r="CC59" t="str">
        <f>""</f>
        <v/>
      </c>
      <c r="CD59" t="str">
        <f>""</f>
        <v/>
      </c>
      <c r="CE59" t="str">
        <f>""</f>
        <v/>
      </c>
      <c r="CF59" t="str">
        <f>""</f>
        <v/>
      </c>
      <c r="CG59" t="str">
        <f>""</f>
        <v/>
      </c>
      <c r="CH59" t="str">
        <f>""</f>
        <v/>
      </c>
      <c r="CI59" t="str">
        <f>""</f>
        <v/>
      </c>
      <c r="CJ59" t="str">
        <f>""</f>
        <v/>
      </c>
      <c r="CK59" t="str">
        <f>""</f>
        <v/>
      </c>
      <c r="CL59" t="str">
        <f>""</f>
        <v/>
      </c>
      <c r="CM59" t="str">
        <f>""</f>
        <v/>
      </c>
      <c r="CN59" t="str">
        <f>""</f>
        <v/>
      </c>
      <c r="CO59" t="str">
        <f>""</f>
        <v/>
      </c>
      <c r="CP59" t="str">
        <f>""</f>
        <v/>
      </c>
      <c r="CQ59" t="str">
        <f>""</f>
        <v/>
      </c>
      <c r="CR59" t="str">
        <f>""</f>
        <v/>
      </c>
      <c r="CS59" t="str">
        <f>""</f>
        <v/>
      </c>
      <c r="CT59" t="str">
        <f>""</f>
        <v/>
      </c>
      <c r="CU59" t="str">
        <f>""</f>
        <v/>
      </c>
      <c r="CV59" t="str">
        <f>""</f>
        <v/>
      </c>
      <c r="CW59" t="str">
        <f>""</f>
        <v/>
      </c>
      <c r="CX59" t="str">
        <f>""</f>
        <v/>
      </c>
      <c r="CY59" t="str">
        <f>""</f>
        <v/>
      </c>
      <c r="CZ59" t="str">
        <f>""</f>
        <v/>
      </c>
      <c r="DA59" t="str">
        <f>""</f>
        <v/>
      </c>
      <c r="DB59" t="str">
        <f>""</f>
        <v/>
      </c>
      <c r="DC59" t="str">
        <f>""</f>
        <v/>
      </c>
      <c r="DD59" t="str">
        <f>""</f>
        <v/>
      </c>
      <c r="DE59" t="str">
        <f>""</f>
        <v/>
      </c>
      <c r="DF59" t="str">
        <f>""</f>
        <v/>
      </c>
      <c r="DG59" t="str">
        <f>""</f>
        <v/>
      </c>
      <c r="DH59" t="str">
        <f>""</f>
        <v/>
      </c>
      <c r="DI59" t="str">
        <f>""</f>
        <v/>
      </c>
      <c r="DJ59" t="str">
        <f>""</f>
        <v/>
      </c>
      <c r="DK59" t="str">
        <f>""</f>
        <v/>
      </c>
      <c r="DL59" t="str">
        <f>""</f>
        <v/>
      </c>
      <c r="DM59" t="str">
        <f>""</f>
        <v/>
      </c>
      <c r="DN59" t="str">
        <f>""</f>
        <v/>
      </c>
      <c r="DO59" t="str">
        <f>""</f>
        <v/>
      </c>
      <c r="DP59" t="str">
        <f>""</f>
        <v/>
      </c>
      <c r="DQ59" t="str">
        <f>""</f>
        <v/>
      </c>
      <c r="DR59" t="str">
        <f>""</f>
        <v/>
      </c>
      <c r="DS59" t="str">
        <f>""</f>
        <v/>
      </c>
    </row>
    <row r="60" spans="1:123" x14ac:dyDescent="0.25">
      <c r="A60" t="str">
        <f>$A$8</f>
        <v xml:space="preserve">        GMNA(North America)</v>
      </c>
      <c r="B60" t="str">
        <f>$B$8</f>
        <v>GM US Equity</v>
      </c>
      <c r="C60" t="str">
        <f>$C$8</f>
        <v>BI047</v>
      </c>
      <c r="D60" t="str">
        <f>$D$8</f>
        <v>BICS_SEGMENT_DATA</v>
      </c>
      <c r="E60" t="str">
        <f>$E$8</f>
        <v>Dynamic</v>
      </c>
      <c r="F60" t="str">
        <f ca="1">_xll.BDH($B$8,$C$8,$B$51,$B$52,CONCATENATE("Per=",$B$49),"Dts=H","Dir=H",CONCATENATE("Points=",$B$50),"Sort=R","Days=A","Fill=B","DZ666=001","X0001=NA00","DZ667=1","DS276=Y",CONCATENATE("FX=", $B$48) )</f>
        <v>#N/A Connection</v>
      </c>
      <c r="BM60" t="str">
        <f>""</f>
        <v/>
      </c>
      <c r="BN60" t="str">
        <f>""</f>
        <v/>
      </c>
      <c r="BO60" t="str">
        <f>""</f>
        <v/>
      </c>
      <c r="BP60" t="str">
        <f>""</f>
        <v/>
      </c>
      <c r="BQ60" t="str">
        <f>""</f>
        <v/>
      </c>
      <c r="BR60" t="str">
        <f>""</f>
        <v/>
      </c>
      <c r="BS60" t="str">
        <f>""</f>
        <v/>
      </c>
      <c r="BT60" t="str">
        <f>""</f>
        <v/>
      </c>
      <c r="BU60" t="str">
        <f>""</f>
        <v/>
      </c>
      <c r="BV60" t="str">
        <f>""</f>
        <v/>
      </c>
      <c r="BW60" t="str">
        <f>""</f>
        <v/>
      </c>
      <c r="BX60" t="str">
        <f>""</f>
        <v/>
      </c>
      <c r="BY60" t="str">
        <f>""</f>
        <v/>
      </c>
      <c r="BZ60" t="str">
        <f>""</f>
        <v/>
      </c>
      <c r="CA60" t="str">
        <f>""</f>
        <v/>
      </c>
      <c r="CB60" t="str">
        <f>""</f>
        <v/>
      </c>
      <c r="CC60" t="str">
        <f>""</f>
        <v/>
      </c>
      <c r="CD60" t="str">
        <f>""</f>
        <v/>
      </c>
      <c r="CE60" t="str">
        <f>""</f>
        <v/>
      </c>
      <c r="CF60" t="str">
        <f>""</f>
        <v/>
      </c>
      <c r="CG60" t="str">
        <f>""</f>
        <v/>
      </c>
      <c r="CH60" t="str">
        <f>""</f>
        <v/>
      </c>
      <c r="CI60" t="str">
        <f>""</f>
        <v/>
      </c>
      <c r="CJ60" t="str">
        <f>""</f>
        <v/>
      </c>
      <c r="CK60" t="str">
        <f>""</f>
        <v/>
      </c>
      <c r="CL60" t="str">
        <f>""</f>
        <v/>
      </c>
      <c r="CM60" t="str">
        <f>""</f>
        <v/>
      </c>
      <c r="CN60" t="str">
        <f>""</f>
        <v/>
      </c>
      <c r="CO60" t="str">
        <f>""</f>
        <v/>
      </c>
      <c r="CP60" t="str">
        <f>""</f>
        <v/>
      </c>
      <c r="CQ60" t="str">
        <f>""</f>
        <v/>
      </c>
      <c r="CR60" t="str">
        <f>""</f>
        <v/>
      </c>
      <c r="CS60" t="str">
        <f>""</f>
        <v/>
      </c>
      <c r="CT60" t="str">
        <f>""</f>
        <v/>
      </c>
      <c r="CU60" t="str">
        <f>""</f>
        <v/>
      </c>
      <c r="CV60" t="str">
        <f>""</f>
        <v/>
      </c>
      <c r="CW60" t="str">
        <f>""</f>
        <v/>
      </c>
      <c r="CX60" t="str">
        <f>""</f>
        <v/>
      </c>
      <c r="CY60" t="str">
        <f>""</f>
        <v/>
      </c>
      <c r="CZ60" t="str">
        <f>""</f>
        <v/>
      </c>
      <c r="DA60" t="str">
        <f>""</f>
        <v/>
      </c>
      <c r="DB60" t="str">
        <f>""</f>
        <v/>
      </c>
      <c r="DC60" t="str">
        <f>""</f>
        <v/>
      </c>
      <c r="DD60" t="str">
        <f>""</f>
        <v/>
      </c>
      <c r="DE60" t="str">
        <f>""</f>
        <v/>
      </c>
      <c r="DF60" t="str">
        <f>""</f>
        <v/>
      </c>
      <c r="DG60" t="str">
        <f>""</f>
        <v/>
      </c>
      <c r="DH60" t="str">
        <f>""</f>
        <v/>
      </c>
      <c r="DI60" t="str">
        <f>""</f>
        <v/>
      </c>
      <c r="DJ60" t="str">
        <f>""</f>
        <v/>
      </c>
      <c r="DK60" t="str">
        <f>""</f>
        <v/>
      </c>
      <c r="DL60" t="str">
        <f>""</f>
        <v/>
      </c>
      <c r="DM60" t="str">
        <f>""</f>
        <v/>
      </c>
      <c r="DN60" t="str">
        <f>""</f>
        <v/>
      </c>
      <c r="DO60" t="str">
        <f>""</f>
        <v/>
      </c>
      <c r="DP60" t="str">
        <f>""</f>
        <v/>
      </c>
      <c r="DQ60" t="str">
        <f>""</f>
        <v/>
      </c>
      <c r="DR60" t="str">
        <f>""</f>
        <v/>
      </c>
      <c r="DS60" t="str">
        <f>""</f>
        <v/>
      </c>
    </row>
    <row r="61" spans="1:123" x14ac:dyDescent="0.25">
      <c r="A61" t="str">
        <f>$A$9</f>
        <v>By Geography ($M) - Daimler AG</v>
      </c>
      <c r="B61" t="str">
        <f>$B$9</f>
        <v>DAI GR Equity</v>
      </c>
      <c r="C61" t="str">
        <f>$C$9</f>
        <v>IS010</v>
      </c>
      <c r="D61" t="str">
        <f>$D$9</f>
        <v>SALES_REV_TURN</v>
      </c>
      <c r="E61" t="str">
        <f>$E$9</f>
        <v>Dynamic</v>
      </c>
      <c r="F61" t="str">
        <f ca="1">_xll.BDH($B$9,$C$9,$B$51,$B$52,CONCATENATE("Per=",$B$49),"Dts=H","Dir=H",CONCATENATE("Points=",$B$50),"Sort=R","Days=A","Fill=B",CONCATENATE("FX=", $B$48) )</f>
        <v>#N/A Connection</v>
      </c>
      <c r="BM61" t="str">
        <f>""</f>
        <v/>
      </c>
      <c r="BN61" t="str">
        <f>""</f>
        <v/>
      </c>
      <c r="BO61" t="str">
        <f>""</f>
        <v/>
      </c>
      <c r="BP61" t="str">
        <f>""</f>
        <v/>
      </c>
      <c r="BQ61" t="str">
        <f>""</f>
        <v/>
      </c>
      <c r="BR61" t="str">
        <f>""</f>
        <v/>
      </c>
      <c r="BS61" t="str">
        <f>""</f>
        <v/>
      </c>
      <c r="BT61" t="str">
        <f>""</f>
        <v/>
      </c>
      <c r="BU61" t="str">
        <f>""</f>
        <v/>
      </c>
      <c r="BV61" t="str">
        <f>""</f>
        <v/>
      </c>
      <c r="BW61" t="str">
        <f>""</f>
        <v/>
      </c>
      <c r="BX61" t="str">
        <f>""</f>
        <v/>
      </c>
      <c r="BY61" t="str">
        <f>""</f>
        <v/>
      </c>
      <c r="BZ61" t="str">
        <f>""</f>
        <v/>
      </c>
      <c r="CA61" t="str">
        <f>""</f>
        <v/>
      </c>
      <c r="CB61" t="str">
        <f>""</f>
        <v/>
      </c>
      <c r="CC61" t="str">
        <f>""</f>
        <v/>
      </c>
      <c r="CD61" t="str">
        <f>""</f>
        <v/>
      </c>
      <c r="CE61" t="str">
        <f>""</f>
        <v/>
      </c>
      <c r="CF61" t="str">
        <f>""</f>
        <v/>
      </c>
      <c r="CG61" t="str">
        <f>""</f>
        <v/>
      </c>
      <c r="CH61" t="str">
        <f>""</f>
        <v/>
      </c>
      <c r="CI61" t="str">
        <f>""</f>
        <v/>
      </c>
      <c r="CJ61" t="str">
        <f>""</f>
        <v/>
      </c>
      <c r="CK61" t="str">
        <f>""</f>
        <v/>
      </c>
      <c r="CL61" t="str">
        <f>""</f>
        <v/>
      </c>
      <c r="CM61" t="str">
        <f>""</f>
        <v/>
      </c>
      <c r="CN61" t="str">
        <f>""</f>
        <v/>
      </c>
      <c r="CO61" t="str">
        <f>""</f>
        <v/>
      </c>
      <c r="CP61" t="str">
        <f>""</f>
        <v/>
      </c>
      <c r="CQ61" t="str">
        <f>""</f>
        <v/>
      </c>
      <c r="CR61" t="str">
        <f>""</f>
        <v/>
      </c>
      <c r="CS61" t="str">
        <f>""</f>
        <v/>
      </c>
      <c r="CT61" t="str">
        <f>""</f>
        <v/>
      </c>
      <c r="CU61" t="str">
        <f>""</f>
        <v/>
      </c>
      <c r="CV61" t="str">
        <f>""</f>
        <v/>
      </c>
      <c r="CW61" t="str">
        <f>""</f>
        <v/>
      </c>
      <c r="CX61" t="str">
        <f>""</f>
        <v/>
      </c>
      <c r="CY61" t="str">
        <f>""</f>
        <v/>
      </c>
      <c r="CZ61" t="str">
        <f>""</f>
        <v/>
      </c>
      <c r="DA61" t="str">
        <f>""</f>
        <v/>
      </c>
      <c r="DB61" t="str">
        <f>""</f>
        <v/>
      </c>
      <c r="DC61" t="str">
        <f>""</f>
        <v/>
      </c>
      <c r="DD61" t="str">
        <f>""</f>
        <v/>
      </c>
      <c r="DE61" t="str">
        <f>""</f>
        <v/>
      </c>
      <c r="DF61" t="str">
        <f>""</f>
        <v/>
      </c>
      <c r="DG61" t="str">
        <f>""</f>
        <v/>
      </c>
      <c r="DH61" t="str">
        <f>""</f>
        <v/>
      </c>
      <c r="DI61" t="str">
        <f>""</f>
        <v/>
      </c>
      <c r="DJ61" t="str">
        <f>""</f>
        <v/>
      </c>
      <c r="DK61" t="str">
        <f>""</f>
        <v/>
      </c>
      <c r="DL61" t="str">
        <f>""</f>
        <v/>
      </c>
      <c r="DM61" t="str">
        <f>""</f>
        <v/>
      </c>
      <c r="DN61" t="str">
        <f>""</f>
        <v/>
      </c>
      <c r="DO61" t="str">
        <f>""</f>
        <v/>
      </c>
      <c r="DP61" t="str">
        <f>""</f>
        <v/>
      </c>
      <c r="DQ61" t="str">
        <f>""</f>
        <v/>
      </c>
      <c r="DR61" t="str">
        <f>""</f>
        <v/>
      </c>
      <c r="DS61" t="str">
        <f>""</f>
        <v/>
      </c>
    </row>
    <row r="62" spans="1:123" x14ac:dyDescent="0.25">
      <c r="A62" t="str">
        <f>$A$10</f>
        <v xml:space="preserve">        NAFTA - USA</v>
      </c>
      <c r="B62" t="str">
        <f>$B$10</f>
        <v>DAI GR Equity</v>
      </c>
      <c r="C62" t="str">
        <f>$C$10</f>
        <v>BI047</v>
      </c>
      <c r="D62" t="str">
        <f>$D$10</f>
        <v>BICS_SEGMENT_DATA</v>
      </c>
      <c r="E62" t="str">
        <f>$E$10</f>
        <v>Dynamic</v>
      </c>
      <c r="F62" t="str">
        <f ca="1">_xll.BDH($B$10,$C$10,$B$51,$B$52,CONCATENATE("Per=",$B$49),"Dts=H","Dir=H",CONCATENATE("Points=",$B$50),"Sort=R","Days=A","Fill=B","DZ666=001","X0001=NAUS","DZ667=1","DS276=Y",CONCATENATE("FX=", $B$48) )</f>
        <v>#N/A Connection</v>
      </c>
      <c r="BM62" t="str">
        <f>""</f>
        <v/>
      </c>
      <c r="BN62" t="str">
        <f>""</f>
        <v/>
      </c>
      <c r="BO62" t="str">
        <f>""</f>
        <v/>
      </c>
      <c r="BP62" t="str">
        <f>""</f>
        <v/>
      </c>
      <c r="BQ62" t="str">
        <f>""</f>
        <v/>
      </c>
      <c r="BR62" t="str">
        <f>""</f>
        <v/>
      </c>
      <c r="BS62" t="str">
        <f>""</f>
        <v/>
      </c>
      <c r="BT62" t="str">
        <f>""</f>
        <v/>
      </c>
      <c r="BU62" t="str">
        <f>""</f>
        <v/>
      </c>
      <c r="BV62" t="str">
        <f>""</f>
        <v/>
      </c>
      <c r="BW62" t="str">
        <f>""</f>
        <v/>
      </c>
      <c r="BX62" t="str">
        <f>""</f>
        <v/>
      </c>
      <c r="BY62" t="str">
        <f>""</f>
        <v/>
      </c>
      <c r="BZ62" t="str">
        <f>""</f>
        <v/>
      </c>
      <c r="CA62" t="str">
        <f>""</f>
        <v/>
      </c>
      <c r="CB62" t="str">
        <f>""</f>
        <v/>
      </c>
      <c r="CC62" t="str">
        <f>""</f>
        <v/>
      </c>
      <c r="CD62" t="str">
        <f>""</f>
        <v/>
      </c>
      <c r="CE62" t="str">
        <f>""</f>
        <v/>
      </c>
      <c r="CF62" t="str">
        <f>""</f>
        <v/>
      </c>
      <c r="CG62" t="str">
        <f>""</f>
        <v/>
      </c>
      <c r="CH62" t="str">
        <f>""</f>
        <v/>
      </c>
      <c r="CI62" t="str">
        <f>""</f>
        <v/>
      </c>
      <c r="CJ62" t="str">
        <f>""</f>
        <v/>
      </c>
      <c r="CK62" t="str">
        <f>""</f>
        <v/>
      </c>
      <c r="CL62" t="str">
        <f>""</f>
        <v/>
      </c>
      <c r="CM62" t="str">
        <f>""</f>
        <v/>
      </c>
      <c r="CN62" t="str">
        <f>""</f>
        <v/>
      </c>
      <c r="CO62" t="str">
        <f>""</f>
        <v/>
      </c>
      <c r="CP62" t="str">
        <f>""</f>
        <v/>
      </c>
      <c r="CQ62" t="str">
        <f>""</f>
        <v/>
      </c>
      <c r="CR62" t="str">
        <f>""</f>
        <v/>
      </c>
      <c r="CS62" t="str">
        <f>""</f>
        <v/>
      </c>
      <c r="CT62" t="str">
        <f>""</f>
        <v/>
      </c>
      <c r="CU62" t="str">
        <f>""</f>
        <v/>
      </c>
      <c r="CV62" t="str">
        <f>""</f>
        <v/>
      </c>
      <c r="CW62" t="str">
        <f>""</f>
        <v/>
      </c>
      <c r="CX62" t="str">
        <f>""</f>
        <v/>
      </c>
      <c r="CY62" t="str">
        <f>""</f>
        <v/>
      </c>
      <c r="CZ62" t="str">
        <f>""</f>
        <v/>
      </c>
      <c r="DA62" t="str">
        <f>""</f>
        <v/>
      </c>
      <c r="DB62" t="str">
        <f>""</f>
        <v/>
      </c>
      <c r="DC62" t="str">
        <f>""</f>
        <v/>
      </c>
      <c r="DD62" t="str">
        <f>""</f>
        <v/>
      </c>
      <c r="DE62" t="str">
        <f>""</f>
        <v/>
      </c>
      <c r="DF62" t="str">
        <f>""</f>
        <v/>
      </c>
      <c r="DG62" t="str">
        <f>""</f>
        <v/>
      </c>
      <c r="DH62" t="str">
        <f>""</f>
        <v/>
      </c>
      <c r="DI62" t="str">
        <f>""</f>
        <v/>
      </c>
      <c r="DJ62" t="str">
        <f>""</f>
        <v/>
      </c>
      <c r="DK62" t="str">
        <f>""</f>
        <v/>
      </c>
      <c r="DL62" t="str">
        <f>""</f>
        <v/>
      </c>
      <c r="DM62" t="str">
        <f>""</f>
        <v/>
      </c>
      <c r="DN62" t="str">
        <f>""</f>
        <v/>
      </c>
      <c r="DO62" t="str">
        <f>""</f>
        <v/>
      </c>
      <c r="DP62" t="str">
        <f>""</f>
        <v/>
      </c>
      <c r="DQ62" t="str">
        <f>""</f>
        <v/>
      </c>
      <c r="DR62" t="str">
        <f>""</f>
        <v/>
      </c>
      <c r="DS62" t="str">
        <f>""</f>
        <v/>
      </c>
    </row>
    <row r="63" spans="1:123" x14ac:dyDescent="0.25">
      <c r="A63" t="str">
        <f>$A$11</f>
        <v>By Geography ($M) - Ford</v>
      </c>
      <c r="B63" t="str">
        <f>$B$11</f>
        <v>F US Equity</v>
      </c>
      <c r="C63" t="str">
        <f>$C$11</f>
        <v>IS010</v>
      </c>
      <c r="D63" t="str">
        <f>$D$11</f>
        <v>SALES_REV_TURN</v>
      </c>
      <c r="E63" t="str">
        <f>$E$11</f>
        <v>Dynamic</v>
      </c>
      <c r="F63" t="str">
        <f ca="1">_xll.BDH($B$11,$C$11,$B$51,$B$52,CONCATENATE("Per=",$B$49),"Dts=H","Dir=H",CONCATENATE("Points=",$B$50),"Sort=R","Days=A","Fill=B",CONCATENATE("FX=", $B$48) )</f>
        <v>#N/A Connection</v>
      </c>
      <c r="BM63" t="str">
        <f>""</f>
        <v/>
      </c>
      <c r="BN63" t="str">
        <f>""</f>
        <v/>
      </c>
      <c r="BO63" t="str">
        <f>""</f>
        <v/>
      </c>
      <c r="BP63" t="str">
        <f>""</f>
        <v/>
      </c>
      <c r="BQ63" t="str">
        <f>""</f>
        <v/>
      </c>
      <c r="BR63" t="str">
        <f>""</f>
        <v/>
      </c>
      <c r="BS63" t="str">
        <f>""</f>
        <v/>
      </c>
      <c r="BT63" t="str">
        <f>""</f>
        <v/>
      </c>
      <c r="BU63" t="str">
        <f>""</f>
        <v/>
      </c>
      <c r="BV63" t="str">
        <f>""</f>
        <v/>
      </c>
      <c r="BW63" t="str">
        <f>""</f>
        <v/>
      </c>
      <c r="BX63" t="str">
        <f>""</f>
        <v/>
      </c>
      <c r="BY63" t="str">
        <f>""</f>
        <v/>
      </c>
      <c r="BZ63" t="str">
        <f>""</f>
        <v/>
      </c>
      <c r="CA63" t="str">
        <f>""</f>
        <v/>
      </c>
      <c r="CB63" t="str">
        <f>""</f>
        <v/>
      </c>
      <c r="CC63" t="str">
        <f>""</f>
        <v/>
      </c>
      <c r="CD63" t="str">
        <f>""</f>
        <v/>
      </c>
      <c r="CE63" t="str">
        <f>""</f>
        <v/>
      </c>
      <c r="CF63" t="str">
        <f>""</f>
        <v/>
      </c>
      <c r="CG63" t="str">
        <f>""</f>
        <v/>
      </c>
      <c r="CH63" t="str">
        <f>""</f>
        <v/>
      </c>
      <c r="CI63" t="str">
        <f>""</f>
        <v/>
      </c>
      <c r="CJ63" t="str">
        <f>""</f>
        <v/>
      </c>
      <c r="CK63" t="str">
        <f>""</f>
        <v/>
      </c>
      <c r="CL63" t="str">
        <f>""</f>
        <v/>
      </c>
      <c r="CM63" t="str">
        <f>""</f>
        <v/>
      </c>
      <c r="CN63" t="str">
        <f>""</f>
        <v/>
      </c>
      <c r="CO63" t="str">
        <f>""</f>
        <v/>
      </c>
      <c r="CP63" t="str">
        <f>""</f>
        <v/>
      </c>
      <c r="CQ63" t="str">
        <f>""</f>
        <v/>
      </c>
      <c r="CR63" t="str">
        <f>""</f>
        <v/>
      </c>
      <c r="CS63" t="str">
        <f>""</f>
        <v/>
      </c>
      <c r="CT63" t="str">
        <f>""</f>
        <v/>
      </c>
      <c r="CU63" t="str">
        <f>""</f>
        <v/>
      </c>
      <c r="CV63" t="str">
        <f>""</f>
        <v/>
      </c>
      <c r="CW63" t="str">
        <f>""</f>
        <v/>
      </c>
      <c r="CX63" t="str">
        <f>""</f>
        <v/>
      </c>
      <c r="CY63" t="str">
        <f>""</f>
        <v/>
      </c>
      <c r="CZ63" t="str">
        <f>""</f>
        <v/>
      </c>
      <c r="DA63" t="str">
        <f>""</f>
        <v/>
      </c>
      <c r="DB63" t="str">
        <f>""</f>
        <v/>
      </c>
      <c r="DC63" t="str">
        <f>""</f>
        <v/>
      </c>
      <c r="DD63" t="str">
        <f>""</f>
        <v/>
      </c>
      <c r="DE63" t="str">
        <f>""</f>
        <v/>
      </c>
      <c r="DF63" t="str">
        <f>""</f>
        <v/>
      </c>
      <c r="DG63" t="str">
        <f>""</f>
        <v/>
      </c>
      <c r="DH63" t="str">
        <f>""</f>
        <v/>
      </c>
      <c r="DI63" t="str">
        <f>""</f>
        <v/>
      </c>
      <c r="DJ63" t="str">
        <f>""</f>
        <v/>
      </c>
      <c r="DK63" t="str">
        <f>""</f>
        <v/>
      </c>
      <c r="DL63" t="str">
        <f>""</f>
        <v/>
      </c>
      <c r="DM63" t="str">
        <f>""</f>
        <v/>
      </c>
      <c r="DN63" t="str">
        <f>""</f>
        <v/>
      </c>
      <c r="DO63" t="str">
        <f>""</f>
        <v/>
      </c>
      <c r="DP63" t="str">
        <f>""</f>
        <v/>
      </c>
      <c r="DQ63" t="str">
        <f>""</f>
        <v/>
      </c>
      <c r="DR63" t="str">
        <f>""</f>
        <v/>
      </c>
      <c r="DS63" t="str">
        <f>""</f>
        <v/>
      </c>
    </row>
    <row r="64" spans="1:123" x14ac:dyDescent="0.25">
      <c r="A64" t="str">
        <f>$A$12</f>
        <v xml:space="preserve">        Total America - USA</v>
      </c>
      <c r="B64" t="str">
        <f>$B$12</f>
        <v>F US Equity</v>
      </c>
      <c r="C64" t="str">
        <f>$C$12</f>
        <v>BI047</v>
      </c>
      <c r="D64" t="str">
        <f>$D$12</f>
        <v>BICS_SEGMENT_DATA</v>
      </c>
      <c r="E64" t="str">
        <f>$E$12</f>
        <v>Dynamic</v>
      </c>
      <c r="F64" t="str">
        <f ca="1">_xll.BDH($B$12,$C$12,$B$51,$B$52,CONCATENATE("Per=",$B$49),"Dts=H","Dir=H",CONCATENATE("Points=",$B$50),"Sort=R","Days=A","Fill=B","DZ666=001","X0001=NAUS","DZ667=1","DS276=Y",CONCATENATE("FX=", $B$48) )</f>
        <v>#N/A Connection</v>
      </c>
      <c r="BM64" t="str">
        <f>""</f>
        <v/>
      </c>
      <c r="BN64" t="str">
        <f>""</f>
        <v/>
      </c>
      <c r="BO64" t="str">
        <f>""</f>
        <v/>
      </c>
      <c r="BP64" t="str">
        <f>""</f>
        <v/>
      </c>
      <c r="BQ64" t="str">
        <f>""</f>
        <v/>
      </c>
      <c r="BR64" t="str">
        <f>""</f>
        <v/>
      </c>
      <c r="BS64" t="str">
        <f>""</f>
        <v/>
      </c>
      <c r="BT64" t="str">
        <f>""</f>
        <v/>
      </c>
      <c r="BU64" t="str">
        <f>""</f>
        <v/>
      </c>
      <c r="BV64" t="str">
        <f>""</f>
        <v/>
      </c>
      <c r="BW64" t="str">
        <f>""</f>
        <v/>
      </c>
      <c r="BX64" t="str">
        <f>""</f>
        <v/>
      </c>
      <c r="BY64" t="str">
        <f>""</f>
        <v/>
      </c>
      <c r="BZ64" t="str">
        <f>""</f>
        <v/>
      </c>
      <c r="CA64" t="str">
        <f>""</f>
        <v/>
      </c>
      <c r="CB64" t="str">
        <f>""</f>
        <v/>
      </c>
      <c r="CC64" t="str">
        <f>""</f>
        <v/>
      </c>
      <c r="CD64" t="str">
        <f>""</f>
        <v/>
      </c>
      <c r="CE64" t="str">
        <f>""</f>
        <v/>
      </c>
      <c r="CF64" t="str">
        <f>""</f>
        <v/>
      </c>
      <c r="CG64" t="str">
        <f>""</f>
        <v/>
      </c>
      <c r="CH64" t="str">
        <f>""</f>
        <v/>
      </c>
      <c r="CI64" t="str">
        <f>""</f>
        <v/>
      </c>
      <c r="CJ64" t="str">
        <f>""</f>
        <v/>
      </c>
      <c r="CK64" t="str">
        <f>""</f>
        <v/>
      </c>
      <c r="CL64" t="str">
        <f>""</f>
        <v/>
      </c>
      <c r="CM64" t="str">
        <f>""</f>
        <v/>
      </c>
      <c r="CN64" t="str">
        <f>""</f>
        <v/>
      </c>
      <c r="CO64" t="str">
        <f>""</f>
        <v/>
      </c>
      <c r="CP64" t="str">
        <f>""</f>
        <v/>
      </c>
      <c r="CQ64" t="str">
        <f>""</f>
        <v/>
      </c>
      <c r="CR64" t="str">
        <f>""</f>
        <v/>
      </c>
      <c r="CS64" t="str">
        <f>""</f>
        <v/>
      </c>
      <c r="CT64" t="str">
        <f>""</f>
        <v/>
      </c>
      <c r="CU64" t="str">
        <f>""</f>
        <v/>
      </c>
      <c r="CV64" t="str">
        <f>""</f>
        <v/>
      </c>
      <c r="CW64" t="str">
        <f>""</f>
        <v/>
      </c>
      <c r="CX64" t="str">
        <f>""</f>
        <v/>
      </c>
      <c r="CY64" t="str">
        <f>""</f>
        <v/>
      </c>
      <c r="CZ64" t="str">
        <f>""</f>
        <v/>
      </c>
      <c r="DA64" t="str">
        <f>""</f>
        <v/>
      </c>
      <c r="DB64" t="str">
        <f>""</f>
        <v/>
      </c>
      <c r="DC64" t="str">
        <f>""</f>
        <v/>
      </c>
      <c r="DD64" t="str">
        <f>""</f>
        <v/>
      </c>
      <c r="DE64" t="str">
        <f>""</f>
        <v/>
      </c>
      <c r="DF64" t="str">
        <f>""</f>
        <v/>
      </c>
      <c r="DG64" t="str">
        <f>""</f>
        <v/>
      </c>
      <c r="DH64" t="str">
        <f>""</f>
        <v/>
      </c>
      <c r="DI64" t="str">
        <f>""</f>
        <v/>
      </c>
      <c r="DJ64" t="str">
        <f>""</f>
        <v/>
      </c>
      <c r="DK64" t="str">
        <f>""</f>
        <v/>
      </c>
      <c r="DL64" t="str">
        <f>""</f>
        <v/>
      </c>
      <c r="DM64" t="str">
        <f>""</f>
        <v/>
      </c>
      <c r="DN64" t="str">
        <f>""</f>
        <v/>
      </c>
      <c r="DO64" t="str">
        <f>""</f>
        <v/>
      </c>
      <c r="DP64" t="str">
        <f>""</f>
        <v/>
      </c>
      <c r="DQ64" t="str">
        <f>""</f>
        <v/>
      </c>
      <c r="DR64" t="str">
        <f>""</f>
        <v/>
      </c>
      <c r="DS64" t="str">
        <f>""</f>
        <v/>
      </c>
    </row>
    <row r="65" spans="1:123" x14ac:dyDescent="0.25">
      <c r="A65" t="str">
        <f>$A$13</f>
        <v>By Geography ($M) - Honda</v>
      </c>
      <c r="B65" t="str">
        <f>$B$13</f>
        <v>7267 JP Equity</v>
      </c>
      <c r="C65" t="str">
        <f>$C$13</f>
        <v>IS010</v>
      </c>
      <c r="D65" t="str">
        <f>$D$13</f>
        <v>SALES_REV_TURN</v>
      </c>
      <c r="E65" t="str">
        <f>$E$13</f>
        <v>Dynamic</v>
      </c>
      <c r="F65" t="str">
        <f ca="1">_xll.BDH($B$13,$C$13,$B$51,$B$52,CONCATENATE("Per=",$B$49),"Dts=H","Dir=H",CONCATENATE("Points=",$B$50),"Sort=R","Days=A","Fill=B",CONCATENATE("FX=", $B$48) )</f>
        <v>#N/A Connection</v>
      </c>
      <c r="BM65" t="str">
        <f>""</f>
        <v/>
      </c>
      <c r="BN65" t="str">
        <f>""</f>
        <v/>
      </c>
      <c r="BO65" t="str">
        <f>""</f>
        <v/>
      </c>
      <c r="BP65" t="str">
        <f>""</f>
        <v/>
      </c>
      <c r="BQ65" t="str">
        <f>""</f>
        <v/>
      </c>
      <c r="BR65" t="str">
        <f>""</f>
        <v/>
      </c>
      <c r="BS65" t="str">
        <f>""</f>
        <v/>
      </c>
      <c r="BT65" t="str">
        <f>""</f>
        <v/>
      </c>
      <c r="BU65" t="str">
        <f>""</f>
        <v/>
      </c>
      <c r="BV65" t="str">
        <f>""</f>
        <v/>
      </c>
      <c r="BW65" t="str">
        <f>""</f>
        <v/>
      </c>
      <c r="BX65" t="str">
        <f>""</f>
        <v/>
      </c>
      <c r="BY65" t="str">
        <f>""</f>
        <v/>
      </c>
      <c r="BZ65" t="str">
        <f>""</f>
        <v/>
      </c>
      <c r="CA65" t="str">
        <f>""</f>
        <v/>
      </c>
      <c r="CB65" t="str">
        <f>""</f>
        <v/>
      </c>
      <c r="CC65" t="str">
        <f>""</f>
        <v/>
      </c>
      <c r="CD65" t="str">
        <f>""</f>
        <v/>
      </c>
      <c r="CE65" t="str">
        <f>""</f>
        <v/>
      </c>
      <c r="CF65" t="str">
        <f>""</f>
        <v/>
      </c>
      <c r="CG65" t="str">
        <f>""</f>
        <v/>
      </c>
      <c r="CH65" t="str">
        <f>""</f>
        <v/>
      </c>
      <c r="CI65" t="str">
        <f>""</f>
        <v/>
      </c>
      <c r="CJ65" t="str">
        <f>""</f>
        <v/>
      </c>
      <c r="CK65" t="str">
        <f>""</f>
        <v/>
      </c>
      <c r="CL65" t="str">
        <f>""</f>
        <v/>
      </c>
      <c r="CM65" t="str">
        <f>""</f>
        <v/>
      </c>
      <c r="CN65" t="str">
        <f>""</f>
        <v/>
      </c>
      <c r="CO65" t="str">
        <f>""</f>
        <v/>
      </c>
      <c r="CP65" t="str">
        <f>""</f>
        <v/>
      </c>
      <c r="CQ65" t="str">
        <f>""</f>
        <v/>
      </c>
      <c r="CR65" t="str">
        <f>""</f>
        <v/>
      </c>
      <c r="CS65" t="str">
        <f>""</f>
        <v/>
      </c>
      <c r="CT65" t="str">
        <f>""</f>
        <v/>
      </c>
      <c r="CU65" t="str">
        <f>""</f>
        <v/>
      </c>
      <c r="CV65" t="str">
        <f>""</f>
        <v/>
      </c>
      <c r="CW65" t="str">
        <f>""</f>
        <v/>
      </c>
      <c r="CX65" t="str">
        <f>""</f>
        <v/>
      </c>
      <c r="CY65" t="str">
        <f>""</f>
        <v/>
      </c>
      <c r="CZ65" t="str">
        <f>""</f>
        <v/>
      </c>
      <c r="DA65" t="str">
        <f>""</f>
        <v/>
      </c>
      <c r="DB65" t="str">
        <f>""</f>
        <v/>
      </c>
      <c r="DC65" t="str">
        <f>""</f>
        <v/>
      </c>
      <c r="DD65" t="str">
        <f>""</f>
        <v/>
      </c>
      <c r="DE65" t="str">
        <f>""</f>
        <v/>
      </c>
      <c r="DF65" t="str">
        <f>""</f>
        <v/>
      </c>
      <c r="DG65" t="str">
        <f>""</f>
        <v/>
      </c>
      <c r="DH65" t="str">
        <f>""</f>
        <v/>
      </c>
      <c r="DI65" t="str">
        <f>""</f>
        <v/>
      </c>
      <c r="DJ65" t="str">
        <f>""</f>
        <v/>
      </c>
      <c r="DK65" t="str">
        <f>""</f>
        <v/>
      </c>
      <c r="DL65" t="str">
        <f>""</f>
        <v/>
      </c>
      <c r="DM65" t="str">
        <f>""</f>
        <v/>
      </c>
      <c r="DN65" t="str">
        <f>""</f>
        <v/>
      </c>
      <c r="DO65" t="str">
        <f>""</f>
        <v/>
      </c>
      <c r="DP65" t="str">
        <f>""</f>
        <v/>
      </c>
      <c r="DQ65" t="str">
        <f>""</f>
        <v/>
      </c>
      <c r="DR65" t="str">
        <f>""</f>
        <v/>
      </c>
      <c r="DS65" t="str">
        <f>""</f>
        <v/>
      </c>
    </row>
    <row r="66" spans="1:123" x14ac:dyDescent="0.25">
      <c r="A66" t="str">
        <f>$A$14</f>
        <v xml:space="preserve">        North America</v>
      </c>
      <c r="B66" t="str">
        <f>$B$14</f>
        <v>7267 JP Equity</v>
      </c>
      <c r="C66" t="str">
        <f>$C$14</f>
        <v>BI047</v>
      </c>
      <c r="D66" t="str">
        <f>$D$14</f>
        <v>BICS_SEGMENT_DATA</v>
      </c>
      <c r="E66" t="str">
        <f>$E$14</f>
        <v>Dynamic</v>
      </c>
      <c r="F66" t="str">
        <f ca="1">_xll.BDH($B$14,$C$14,$B$51,$B$52,CONCATENATE("Per=",$B$49),"Dts=H","Dir=H",CONCATENATE("Points=",$B$50),"Sort=R","Days=A","Fill=B","DZ666=001","X0001=NA00","DZ667=1","DS276=Y",CONCATENATE("FX=", $B$48) )</f>
        <v>#N/A Connection</v>
      </c>
      <c r="BM66" t="str">
        <f>""</f>
        <v/>
      </c>
      <c r="BN66" t="str">
        <f>""</f>
        <v/>
      </c>
      <c r="BO66" t="str">
        <f>""</f>
        <v/>
      </c>
      <c r="BP66" t="str">
        <f>""</f>
        <v/>
      </c>
      <c r="BQ66" t="str">
        <f>""</f>
        <v/>
      </c>
      <c r="BR66" t="str">
        <f>""</f>
        <v/>
      </c>
      <c r="BS66" t="str">
        <f>""</f>
        <v/>
      </c>
      <c r="BT66" t="str">
        <f>""</f>
        <v/>
      </c>
      <c r="BU66" t="str">
        <f>""</f>
        <v/>
      </c>
      <c r="BV66" t="str">
        <f>""</f>
        <v/>
      </c>
      <c r="BW66" t="str">
        <f>""</f>
        <v/>
      </c>
      <c r="BX66" t="str">
        <f>""</f>
        <v/>
      </c>
      <c r="BY66" t="str">
        <f>""</f>
        <v/>
      </c>
      <c r="BZ66" t="str">
        <f>""</f>
        <v/>
      </c>
      <c r="CA66" t="str">
        <f>""</f>
        <v/>
      </c>
      <c r="CB66" t="str">
        <f>""</f>
        <v/>
      </c>
      <c r="CC66" t="str">
        <f>""</f>
        <v/>
      </c>
      <c r="CD66" t="str">
        <f>""</f>
        <v/>
      </c>
      <c r="CE66" t="str">
        <f>""</f>
        <v/>
      </c>
      <c r="CF66" t="str">
        <f>""</f>
        <v/>
      </c>
      <c r="CG66" t="str">
        <f>""</f>
        <v/>
      </c>
      <c r="CH66" t="str">
        <f>""</f>
        <v/>
      </c>
      <c r="CI66" t="str">
        <f>""</f>
        <v/>
      </c>
      <c r="CJ66" t="str">
        <f>""</f>
        <v/>
      </c>
      <c r="CK66" t="str">
        <f>""</f>
        <v/>
      </c>
      <c r="CL66" t="str">
        <f>""</f>
        <v/>
      </c>
      <c r="CM66" t="str">
        <f>""</f>
        <v/>
      </c>
      <c r="CN66" t="str">
        <f>""</f>
        <v/>
      </c>
      <c r="CO66" t="str">
        <f>""</f>
        <v/>
      </c>
      <c r="CP66" t="str">
        <f>""</f>
        <v/>
      </c>
      <c r="CQ66" t="str">
        <f>""</f>
        <v/>
      </c>
      <c r="CR66" t="str">
        <f>""</f>
        <v/>
      </c>
      <c r="CS66" t="str">
        <f>""</f>
        <v/>
      </c>
      <c r="CT66" t="str">
        <f>""</f>
        <v/>
      </c>
      <c r="CU66" t="str">
        <f>""</f>
        <v/>
      </c>
      <c r="CV66" t="str">
        <f>""</f>
        <v/>
      </c>
      <c r="CW66" t="str">
        <f>""</f>
        <v/>
      </c>
      <c r="CX66" t="str">
        <f>""</f>
        <v/>
      </c>
      <c r="CY66" t="str">
        <f>""</f>
        <v/>
      </c>
      <c r="CZ66" t="str">
        <f>""</f>
        <v/>
      </c>
      <c r="DA66" t="str">
        <f>""</f>
        <v/>
      </c>
      <c r="DB66" t="str">
        <f>""</f>
        <v/>
      </c>
      <c r="DC66" t="str">
        <f>""</f>
        <v/>
      </c>
      <c r="DD66" t="str">
        <f>""</f>
        <v/>
      </c>
      <c r="DE66" t="str">
        <f>""</f>
        <v/>
      </c>
      <c r="DF66" t="str">
        <f>""</f>
        <v/>
      </c>
      <c r="DG66" t="str">
        <f>""</f>
        <v/>
      </c>
      <c r="DH66" t="str">
        <f>""</f>
        <v/>
      </c>
      <c r="DI66" t="str">
        <f>""</f>
        <v/>
      </c>
      <c r="DJ66" t="str">
        <f>""</f>
        <v/>
      </c>
      <c r="DK66" t="str">
        <f>""</f>
        <v/>
      </c>
      <c r="DL66" t="str">
        <f>""</f>
        <v/>
      </c>
      <c r="DM66" t="str">
        <f>""</f>
        <v/>
      </c>
      <c r="DN66" t="str">
        <f>""</f>
        <v/>
      </c>
      <c r="DO66" t="str">
        <f>""</f>
        <v/>
      </c>
      <c r="DP66" t="str">
        <f>""</f>
        <v/>
      </c>
      <c r="DQ66" t="str">
        <f>""</f>
        <v/>
      </c>
      <c r="DR66" t="str">
        <f>""</f>
        <v/>
      </c>
      <c r="DS66" t="str">
        <f>""</f>
        <v/>
      </c>
    </row>
    <row r="67" spans="1:123" x14ac:dyDescent="0.25">
      <c r="A67" t="str">
        <f>$A$15</f>
        <v>By Geography ($M) - Nissan</v>
      </c>
      <c r="B67" t="str">
        <f>$B$15</f>
        <v>7201 JP Equity</v>
      </c>
      <c r="C67" t="str">
        <f>$C$15</f>
        <v>IS010</v>
      </c>
      <c r="D67" t="str">
        <f>$D$15</f>
        <v>SALES_REV_TURN</v>
      </c>
      <c r="E67" t="str">
        <f>$E$15</f>
        <v>Dynamic</v>
      </c>
      <c r="F67" t="str">
        <f ca="1">_xll.BDH($B$15,$C$15,$B$51,$B$52,CONCATENATE("Per=",$B$49),"Dts=H","Dir=H",CONCATENATE("Points=",$B$50),"Sort=R","Days=A","Fill=B",CONCATENATE("FX=", $B$48) )</f>
        <v>#N/A Connection</v>
      </c>
      <c r="BM67" t="str">
        <f>""</f>
        <v/>
      </c>
      <c r="BN67" t="str">
        <f>""</f>
        <v/>
      </c>
      <c r="BO67" t="str">
        <f>""</f>
        <v/>
      </c>
      <c r="BP67" t="str">
        <f>""</f>
        <v/>
      </c>
      <c r="BQ67" t="str">
        <f>""</f>
        <v/>
      </c>
      <c r="BR67" t="str">
        <f>""</f>
        <v/>
      </c>
      <c r="BS67" t="str">
        <f>""</f>
        <v/>
      </c>
      <c r="BT67" t="str">
        <f>""</f>
        <v/>
      </c>
      <c r="BU67" t="str">
        <f>""</f>
        <v/>
      </c>
      <c r="BV67" t="str">
        <f>""</f>
        <v/>
      </c>
      <c r="BW67" t="str">
        <f>""</f>
        <v/>
      </c>
      <c r="BX67" t="str">
        <f>""</f>
        <v/>
      </c>
      <c r="BY67" t="str">
        <f>""</f>
        <v/>
      </c>
      <c r="BZ67" t="str">
        <f>""</f>
        <v/>
      </c>
      <c r="CA67" t="str">
        <f>""</f>
        <v/>
      </c>
      <c r="CB67" t="str">
        <f>""</f>
        <v/>
      </c>
      <c r="CC67" t="str">
        <f>""</f>
        <v/>
      </c>
      <c r="CD67" t="str">
        <f>""</f>
        <v/>
      </c>
      <c r="CE67" t="str">
        <f>""</f>
        <v/>
      </c>
      <c r="CF67" t="str">
        <f>""</f>
        <v/>
      </c>
      <c r="CG67" t="str">
        <f>""</f>
        <v/>
      </c>
      <c r="CH67" t="str">
        <f>""</f>
        <v/>
      </c>
      <c r="CI67" t="str">
        <f>""</f>
        <v/>
      </c>
      <c r="CJ67" t="str">
        <f>""</f>
        <v/>
      </c>
      <c r="CK67" t="str">
        <f>""</f>
        <v/>
      </c>
      <c r="CL67" t="str">
        <f>""</f>
        <v/>
      </c>
      <c r="CM67" t="str">
        <f>""</f>
        <v/>
      </c>
      <c r="CN67" t="str">
        <f>""</f>
        <v/>
      </c>
      <c r="CO67" t="str">
        <f>""</f>
        <v/>
      </c>
      <c r="CP67" t="str">
        <f>""</f>
        <v/>
      </c>
      <c r="CQ67" t="str">
        <f>""</f>
        <v/>
      </c>
      <c r="CR67" t="str">
        <f>""</f>
        <v/>
      </c>
      <c r="CS67" t="str">
        <f>""</f>
        <v/>
      </c>
      <c r="CT67" t="str">
        <f>""</f>
        <v/>
      </c>
      <c r="CU67" t="str">
        <f>""</f>
        <v/>
      </c>
      <c r="CV67" t="str">
        <f>""</f>
        <v/>
      </c>
      <c r="CW67" t="str">
        <f>""</f>
        <v/>
      </c>
      <c r="CX67" t="str">
        <f>""</f>
        <v/>
      </c>
      <c r="CY67" t="str">
        <f>""</f>
        <v/>
      </c>
      <c r="CZ67" t="str">
        <f>""</f>
        <v/>
      </c>
      <c r="DA67" t="str">
        <f>""</f>
        <v/>
      </c>
      <c r="DB67" t="str">
        <f>""</f>
        <v/>
      </c>
      <c r="DC67" t="str">
        <f>""</f>
        <v/>
      </c>
      <c r="DD67" t="str">
        <f>""</f>
        <v/>
      </c>
      <c r="DE67" t="str">
        <f>""</f>
        <v/>
      </c>
      <c r="DF67" t="str">
        <f>""</f>
        <v/>
      </c>
      <c r="DG67" t="str">
        <f>""</f>
        <v/>
      </c>
      <c r="DH67" t="str">
        <f>""</f>
        <v/>
      </c>
      <c r="DI67" t="str">
        <f>""</f>
        <v/>
      </c>
      <c r="DJ67" t="str">
        <f>""</f>
        <v/>
      </c>
      <c r="DK67" t="str">
        <f>""</f>
        <v/>
      </c>
      <c r="DL67" t="str">
        <f>""</f>
        <v/>
      </c>
      <c r="DM67" t="str">
        <f>""</f>
        <v/>
      </c>
      <c r="DN67" t="str">
        <f>""</f>
        <v/>
      </c>
      <c r="DO67" t="str">
        <f>""</f>
        <v/>
      </c>
      <c r="DP67" t="str">
        <f>""</f>
        <v/>
      </c>
      <c r="DQ67" t="str">
        <f>""</f>
        <v/>
      </c>
      <c r="DR67" t="str">
        <f>""</f>
        <v/>
      </c>
      <c r="DS67" t="str">
        <f>""</f>
        <v/>
      </c>
    </row>
    <row r="68" spans="1:123" x14ac:dyDescent="0.25">
      <c r="A68" t="str">
        <f>$A$16</f>
        <v xml:space="preserve">        North America</v>
      </c>
      <c r="B68" t="str">
        <f>$B$16</f>
        <v>7201 JP Equity</v>
      </c>
      <c r="C68" t="str">
        <f>$C$16</f>
        <v>BI047</v>
      </c>
      <c r="D68" t="str">
        <f>$D$16</f>
        <v>BICS_SEGMENT_DATA</v>
      </c>
      <c r="E68" t="str">
        <f>$E$16</f>
        <v>Dynamic</v>
      </c>
      <c r="F68" t="str">
        <f ca="1">_xll.BDH($B$16,$C$16,$B$51,$B$52,CONCATENATE("Per=",$B$49),"Dts=H","Dir=H",CONCATENATE("Points=",$B$50),"Sort=R","Days=A","Fill=B","DZ666=001","X0001=NA00","DZ667=1","DS276=Y",CONCATENATE("FX=", $B$48) )</f>
        <v>#N/A Connection</v>
      </c>
      <c r="BM68" t="str">
        <f>""</f>
        <v/>
      </c>
      <c r="BN68" t="str">
        <f>""</f>
        <v/>
      </c>
      <c r="BO68" t="str">
        <f>""</f>
        <v/>
      </c>
      <c r="BP68" t="str">
        <f>""</f>
        <v/>
      </c>
      <c r="BQ68" t="str">
        <f>""</f>
        <v/>
      </c>
      <c r="BR68" t="str">
        <f>""</f>
        <v/>
      </c>
      <c r="BS68" t="str">
        <f>""</f>
        <v/>
      </c>
      <c r="BT68" t="str">
        <f>""</f>
        <v/>
      </c>
      <c r="BU68" t="str">
        <f>""</f>
        <v/>
      </c>
      <c r="BV68" t="str">
        <f>""</f>
        <v/>
      </c>
      <c r="BW68" t="str">
        <f>""</f>
        <v/>
      </c>
      <c r="BX68" t="str">
        <f>""</f>
        <v/>
      </c>
      <c r="BY68" t="str">
        <f>""</f>
        <v/>
      </c>
      <c r="BZ68" t="str">
        <f>""</f>
        <v/>
      </c>
      <c r="CA68" t="str">
        <f>""</f>
        <v/>
      </c>
      <c r="CB68" t="str">
        <f>""</f>
        <v/>
      </c>
      <c r="CC68" t="str">
        <f>""</f>
        <v/>
      </c>
      <c r="CD68" t="str">
        <f>""</f>
        <v/>
      </c>
      <c r="CE68" t="str">
        <f>""</f>
        <v/>
      </c>
      <c r="CF68" t="str">
        <f>""</f>
        <v/>
      </c>
      <c r="CG68" t="str">
        <f>""</f>
        <v/>
      </c>
      <c r="CH68" t="str">
        <f>""</f>
        <v/>
      </c>
      <c r="CI68" t="str">
        <f>""</f>
        <v/>
      </c>
      <c r="CJ68" t="str">
        <f>""</f>
        <v/>
      </c>
      <c r="CK68" t="str">
        <f>""</f>
        <v/>
      </c>
      <c r="CL68" t="str">
        <f>""</f>
        <v/>
      </c>
      <c r="CM68" t="str">
        <f>""</f>
        <v/>
      </c>
      <c r="CN68" t="str">
        <f>""</f>
        <v/>
      </c>
      <c r="CO68" t="str">
        <f>""</f>
        <v/>
      </c>
      <c r="CP68" t="str">
        <f>""</f>
        <v/>
      </c>
      <c r="CQ68" t="str">
        <f>""</f>
        <v/>
      </c>
      <c r="CR68" t="str">
        <f>""</f>
        <v/>
      </c>
      <c r="CS68" t="str">
        <f>""</f>
        <v/>
      </c>
      <c r="CT68" t="str">
        <f>""</f>
        <v/>
      </c>
      <c r="CU68" t="str">
        <f>""</f>
        <v/>
      </c>
      <c r="CV68" t="str">
        <f>""</f>
        <v/>
      </c>
      <c r="CW68" t="str">
        <f>""</f>
        <v/>
      </c>
      <c r="CX68" t="str">
        <f>""</f>
        <v/>
      </c>
      <c r="CY68" t="str">
        <f>""</f>
        <v/>
      </c>
      <c r="CZ68" t="str">
        <f>""</f>
        <v/>
      </c>
      <c r="DA68" t="str">
        <f>""</f>
        <v/>
      </c>
      <c r="DB68" t="str">
        <f>""</f>
        <v/>
      </c>
      <c r="DC68" t="str">
        <f>""</f>
        <v/>
      </c>
      <c r="DD68" t="str">
        <f>""</f>
        <v/>
      </c>
      <c r="DE68" t="str">
        <f>""</f>
        <v/>
      </c>
      <c r="DF68" t="str">
        <f>""</f>
        <v/>
      </c>
      <c r="DG68" t="str">
        <f>""</f>
        <v/>
      </c>
      <c r="DH68" t="str">
        <f>""</f>
        <v/>
      </c>
      <c r="DI68" t="str">
        <f>""</f>
        <v/>
      </c>
      <c r="DJ68" t="str">
        <f>""</f>
        <v/>
      </c>
      <c r="DK68" t="str">
        <f>""</f>
        <v/>
      </c>
      <c r="DL68" t="str">
        <f>""</f>
        <v/>
      </c>
      <c r="DM68" t="str">
        <f>""</f>
        <v/>
      </c>
      <c r="DN68" t="str">
        <f>""</f>
        <v/>
      </c>
      <c r="DO68" t="str">
        <f>""</f>
        <v/>
      </c>
      <c r="DP68" t="str">
        <f>""</f>
        <v/>
      </c>
      <c r="DQ68" t="str">
        <f>""</f>
        <v/>
      </c>
      <c r="DR68" t="str">
        <f>""</f>
        <v/>
      </c>
      <c r="DS68" t="str">
        <f>""</f>
        <v/>
      </c>
    </row>
    <row r="69" spans="1:123" x14ac:dyDescent="0.25">
      <c r="A69" t="str">
        <f>$A$18</f>
        <v xml:space="preserve">        Fiat Chrysler</v>
      </c>
      <c r="B69" t="str">
        <f>$B$18</f>
        <v>FCAU US Equity</v>
      </c>
      <c r="C69" t="str">
        <f>$C$18</f>
        <v>IS010</v>
      </c>
      <c r="D69" t="str">
        <f>$D$18</f>
        <v>SALES_REV_TURN</v>
      </c>
      <c r="E69" t="str">
        <f>$E$18</f>
        <v>Dynamic</v>
      </c>
      <c r="F69" t="str">
        <f ca="1">_xll.BDH($B$18,$C$18,$B$51,$B$52,CONCATENATE("Per=",$B$49),"Dts=H","Dir=H",CONCATENATE("Points=",$B$50),"Sort=R","Days=A","Fill=B",CONCATENATE("FX=", $B$48) )</f>
        <v>#N/A Connection</v>
      </c>
      <c r="BM69" t="str">
        <f>""</f>
        <v/>
      </c>
      <c r="BN69" t="str">
        <f>""</f>
        <v/>
      </c>
      <c r="BO69" t="str">
        <f>""</f>
        <v/>
      </c>
      <c r="BP69" t="str">
        <f>""</f>
        <v/>
      </c>
      <c r="BQ69" t="str">
        <f>""</f>
        <v/>
      </c>
      <c r="BR69" t="str">
        <f>""</f>
        <v/>
      </c>
      <c r="BS69" t="str">
        <f>""</f>
        <v/>
      </c>
      <c r="BT69" t="str">
        <f>""</f>
        <v/>
      </c>
      <c r="BU69" t="str">
        <f>""</f>
        <v/>
      </c>
      <c r="BV69" t="str">
        <f>""</f>
        <v/>
      </c>
      <c r="BW69" t="str">
        <f>""</f>
        <v/>
      </c>
      <c r="BX69" t="str">
        <f>""</f>
        <v/>
      </c>
      <c r="BY69" t="str">
        <f>""</f>
        <v/>
      </c>
      <c r="BZ69" t="str">
        <f>""</f>
        <v/>
      </c>
      <c r="CA69" t="str">
        <f>""</f>
        <v/>
      </c>
      <c r="CB69" t="str">
        <f>""</f>
        <v/>
      </c>
      <c r="CC69" t="str">
        <f>""</f>
        <v/>
      </c>
      <c r="CD69" t="str">
        <f>""</f>
        <v/>
      </c>
      <c r="CE69" t="str">
        <f>""</f>
        <v/>
      </c>
      <c r="CF69" t="str">
        <f>""</f>
        <v/>
      </c>
      <c r="CG69" t="str">
        <f>""</f>
        <v/>
      </c>
      <c r="CH69" t="str">
        <f>""</f>
        <v/>
      </c>
      <c r="CI69" t="str">
        <f>""</f>
        <v/>
      </c>
      <c r="CJ69" t="str">
        <f>""</f>
        <v/>
      </c>
      <c r="CK69" t="str">
        <f>""</f>
        <v/>
      </c>
      <c r="CL69" t="str">
        <f>""</f>
        <v/>
      </c>
      <c r="CM69" t="str">
        <f>""</f>
        <v/>
      </c>
      <c r="CN69" t="str">
        <f>""</f>
        <v/>
      </c>
      <c r="CO69" t="str">
        <f>""</f>
        <v/>
      </c>
      <c r="CP69" t="str">
        <f>""</f>
        <v/>
      </c>
      <c r="CQ69" t="str">
        <f>""</f>
        <v/>
      </c>
      <c r="CR69" t="str">
        <f>""</f>
        <v/>
      </c>
      <c r="CS69" t="str">
        <f>""</f>
        <v/>
      </c>
      <c r="CT69" t="str">
        <f>""</f>
        <v/>
      </c>
      <c r="CU69" t="str">
        <f>""</f>
        <v/>
      </c>
      <c r="CV69" t="str">
        <f>""</f>
        <v/>
      </c>
      <c r="CW69" t="str">
        <f>""</f>
        <v/>
      </c>
      <c r="CX69" t="str">
        <f>""</f>
        <v/>
      </c>
      <c r="CY69" t="str">
        <f>""</f>
        <v/>
      </c>
      <c r="CZ69" t="str">
        <f>""</f>
        <v/>
      </c>
      <c r="DA69" t="str">
        <f>""</f>
        <v/>
      </c>
      <c r="DB69" t="str">
        <f>""</f>
        <v/>
      </c>
      <c r="DC69" t="str">
        <f>""</f>
        <v/>
      </c>
      <c r="DD69" t="str">
        <f>""</f>
        <v/>
      </c>
      <c r="DE69" t="str">
        <f>""</f>
        <v/>
      </c>
      <c r="DF69" t="str">
        <f>""</f>
        <v/>
      </c>
      <c r="DG69" t="str">
        <f>""</f>
        <v/>
      </c>
      <c r="DH69" t="str">
        <f>""</f>
        <v/>
      </c>
      <c r="DI69" t="str">
        <f>""</f>
        <v/>
      </c>
      <c r="DJ69" t="str">
        <f>""</f>
        <v/>
      </c>
      <c r="DK69" t="str">
        <f>""</f>
        <v/>
      </c>
      <c r="DL69" t="str">
        <f>""</f>
        <v/>
      </c>
      <c r="DM69" t="str">
        <f>""</f>
        <v/>
      </c>
      <c r="DN69" t="str">
        <f>""</f>
        <v/>
      </c>
      <c r="DO69" t="str">
        <f>""</f>
        <v/>
      </c>
      <c r="DP69" t="str">
        <f>""</f>
        <v/>
      </c>
      <c r="DQ69" t="str">
        <f>""</f>
        <v/>
      </c>
      <c r="DR69" t="str">
        <f>""</f>
        <v/>
      </c>
      <c r="DS69" t="str">
        <f>""</f>
        <v/>
      </c>
    </row>
    <row r="70" spans="1:123" x14ac:dyDescent="0.25">
      <c r="A70" t="str">
        <f>$A$19</f>
        <v xml:space="preserve">            Mass Market Brands - NAFTA</v>
      </c>
      <c r="B70" t="str">
        <f>$B$19</f>
        <v>FCAU US Equity</v>
      </c>
      <c r="C70" t="str">
        <f>$C$19</f>
        <v>BI047</v>
      </c>
      <c r="D70" t="str">
        <f>$D$19</f>
        <v>BICS_SEGMENT_DATA</v>
      </c>
      <c r="E70" t="str">
        <f>$E$19</f>
        <v>Dynamic</v>
      </c>
      <c r="F70" t="str">
        <f ca="1">_xll.BDH($B$19,$C$19,$B$51,$B$52,CONCATENATE("Per=",$B$49),"Dts=H","Dir=H",CONCATENATE("Points=",$B$50),"Sort=R","Days=A","Fill=B","DZ666=001","DZ381=11111010","DZ667=7","DS276=Y",CONCATENATE("FX=", $B$48) )</f>
        <v>#N/A Connection</v>
      </c>
      <c r="BM70" t="str">
        <f>""</f>
        <v/>
      </c>
      <c r="BN70" t="str">
        <f>""</f>
        <v/>
      </c>
      <c r="BO70" t="str">
        <f>""</f>
        <v/>
      </c>
      <c r="BP70" t="str">
        <f>""</f>
        <v/>
      </c>
      <c r="BQ70" t="str">
        <f>""</f>
        <v/>
      </c>
      <c r="BR70" t="str">
        <f>""</f>
        <v/>
      </c>
      <c r="BS70" t="str">
        <f>""</f>
        <v/>
      </c>
      <c r="BT70" t="str">
        <f>""</f>
        <v/>
      </c>
      <c r="BU70" t="str">
        <f>""</f>
        <v/>
      </c>
      <c r="BV70" t="str">
        <f>""</f>
        <v/>
      </c>
      <c r="BW70" t="str">
        <f>""</f>
        <v/>
      </c>
      <c r="BX70" t="str">
        <f>""</f>
        <v/>
      </c>
      <c r="BY70" t="str">
        <f>""</f>
        <v/>
      </c>
      <c r="BZ70" t="str">
        <f>""</f>
        <v/>
      </c>
      <c r="CA70" t="str">
        <f>""</f>
        <v/>
      </c>
      <c r="CB70" t="str">
        <f>""</f>
        <v/>
      </c>
      <c r="CC70" t="str">
        <f>""</f>
        <v/>
      </c>
      <c r="CD70" t="str">
        <f>""</f>
        <v/>
      </c>
      <c r="CE70" t="str">
        <f>""</f>
        <v/>
      </c>
      <c r="CF70" t="str">
        <f>""</f>
        <v/>
      </c>
      <c r="CG70" t="str">
        <f>""</f>
        <v/>
      </c>
      <c r="CH70" t="str">
        <f>""</f>
        <v/>
      </c>
      <c r="CI70" t="str">
        <f>""</f>
        <v/>
      </c>
      <c r="CJ70" t="str">
        <f>""</f>
        <v/>
      </c>
      <c r="CK70" t="str">
        <f>""</f>
        <v/>
      </c>
      <c r="CL70" t="str">
        <f>""</f>
        <v/>
      </c>
      <c r="CM70" t="str">
        <f>""</f>
        <v/>
      </c>
      <c r="CN70" t="str">
        <f>""</f>
        <v/>
      </c>
      <c r="CO70" t="str">
        <f>""</f>
        <v/>
      </c>
      <c r="CP70" t="str">
        <f>""</f>
        <v/>
      </c>
      <c r="CQ70" t="str">
        <f>""</f>
        <v/>
      </c>
      <c r="CR70" t="str">
        <f>""</f>
        <v/>
      </c>
      <c r="CS70" t="str">
        <f>""</f>
        <v/>
      </c>
      <c r="CT70" t="str">
        <f>""</f>
        <v/>
      </c>
      <c r="CU70" t="str">
        <f>""</f>
        <v/>
      </c>
      <c r="CV70" t="str">
        <f>""</f>
        <v/>
      </c>
      <c r="CW70" t="str">
        <f>""</f>
        <v/>
      </c>
      <c r="CX70" t="str">
        <f>""</f>
        <v/>
      </c>
      <c r="CY70" t="str">
        <f>""</f>
        <v/>
      </c>
      <c r="CZ70" t="str">
        <f>""</f>
        <v/>
      </c>
      <c r="DA70" t="str">
        <f>""</f>
        <v/>
      </c>
      <c r="DB70" t="str">
        <f>""</f>
        <v/>
      </c>
      <c r="DC70" t="str">
        <f>""</f>
        <v/>
      </c>
      <c r="DD70" t="str">
        <f>""</f>
        <v/>
      </c>
      <c r="DE70" t="str">
        <f>""</f>
        <v/>
      </c>
      <c r="DF70" t="str">
        <f>""</f>
        <v/>
      </c>
      <c r="DG70" t="str">
        <f>""</f>
        <v/>
      </c>
      <c r="DH70" t="str">
        <f>""</f>
        <v/>
      </c>
      <c r="DI70" t="str">
        <f>""</f>
        <v/>
      </c>
      <c r="DJ70" t="str">
        <f>""</f>
        <v/>
      </c>
      <c r="DK70" t="str">
        <f>""</f>
        <v/>
      </c>
      <c r="DL70" t="str">
        <f>""</f>
        <v/>
      </c>
      <c r="DM70" t="str">
        <f>""</f>
        <v/>
      </c>
      <c r="DN70" t="str">
        <f>""</f>
        <v/>
      </c>
      <c r="DO70" t="str">
        <f>""</f>
        <v/>
      </c>
      <c r="DP70" t="str">
        <f>""</f>
        <v/>
      </c>
      <c r="DQ70" t="str">
        <f>""</f>
        <v/>
      </c>
      <c r="DR70" t="str">
        <f>""</f>
        <v/>
      </c>
      <c r="DS70" t="str">
        <f>""</f>
        <v/>
      </c>
    </row>
    <row r="71" spans="1:123" x14ac:dyDescent="0.25">
      <c r="A71" t="str">
        <f>$A$20</f>
        <v xml:space="preserve">        F IM</v>
      </c>
      <c r="B71" t="str">
        <f>$B$20</f>
        <v>F IM Equity</v>
      </c>
      <c r="C71" t="str">
        <f>$C$20</f>
        <v>IS010</v>
      </c>
      <c r="D71" t="str">
        <f>$D$20</f>
        <v>SALES_REV_TURN</v>
      </c>
      <c r="E71" t="str">
        <f>$E$20</f>
        <v>Dynamic</v>
      </c>
      <c r="F71" t="str">
        <f ca="1">_xll.BDH($B$20,$C$20,$B$51,$B$52,CONCATENATE("Per=",$B$49),"Dts=H","Dir=H",CONCATENATE("Points=",$B$50),"Sort=R","Days=A","Fill=B",CONCATENATE("FX=", $B$48) )</f>
        <v>#N/A Connection</v>
      </c>
      <c r="BM71" t="str">
        <f>""</f>
        <v/>
      </c>
      <c r="BN71" t="str">
        <f>""</f>
        <v/>
      </c>
      <c r="BO71" t="str">
        <f>""</f>
        <v/>
      </c>
      <c r="BP71" t="str">
        <f>""</f>
        <v/>
      </c>
      <c r="BQ71" t="str">
        <f>""</f>
        <v/>
      </c>
      <c r="BR71" t="str">
        <f>""</f>
        <v/>
      </c>
      <c r="BS71" t="str">
        <f>""</f>
        <v/>
      </c>
      <c r="BT71" t="str">
        <f>""</f>
        <v/>
      </c>
      <c r="BU71" t="str">
        <f>""</f>
        <v/>
      </c>
      <c r="BV71" t="str">
        <f>""</f>
        <v/>
      </c>
      <c r="BW71" t="str">
        <f>""</f>
        <v/>
      </c>
      <c r="BX71" t="str">
        <f>""</f>
        <v/>
      </c>
      <c r="BY71" t="str">
        <f>""</f>
        <v/>
      </c>
      <c r="BZ71" t="str">
        <f>""</f>
        <v/>
      </c>
      <c r="CA71" t="str">
        <f>""</f>
        <v/>
      </c>
      <c r="CB71" t="str">
        <f>""</f>
        <v/>
      </c>
      <c r="CC71" t="str">
        <f>""</f>
        <v/>
      </c>
      <c r="CD71" t="str">
        <f>""</f>
        <v/>
      </c>
      <c r="CE71" t="str">
        <f>""</f>
        <v/>
      </c>
      <c r="CF71" t="str">
        <f>""</f>
        <v/>
      </c>
      <c r="CG71" t="str">
        <f>""</f>
        <v/>
      </c>
      <c r="CH71" t="str">
        <f>""</f>
        <v/>
      </c>
      <c r="CI71" t="str">
        <f>""</f>
        <v/>
      </c>
      <c r="CJ71" t="str">
        <f>""</f>
        <v/>
      </c>
      <c r="CK71" t="str">
        <f>""</f>
        <v/>
      </c>
      <c r="CL71" t="str">
        <f>""</f>
        <v/>
      </c>
      <c r="CM71" t="str">
        <f>""</f>
        <v/>
      </c>
      <c r="CN71" t="str">
        <f>""</f>
        <v/>
      </c>
      <c r="CO71" t="str">
        <f>""</f>
        <v/>
      </c>
      <c r="CP71" t="str">
        <f>""</f>
        <v/>
      </c>
      <c r="CQ71" t="str">
        <f>""</f>
        <v/>
      </c>
      <c r="CR71" t="str">
        <f>""</f>
        <v/>
      </c>
      <c r="CS71" t="str">
        <f>""</f>
        <v/>
      </c>
      <c r="CT71" t="str">
        <f>""</f>
        <v/>
      </c>
      <c r="CU71" t="str">
        <f>""</f>
        <v/>
      </c>
      <c r="CV71" t="str">
        <f>""</f>
        <v/>
      </c>
      <c r="CW71" t="str">
        <f>""</f>
        <v/>
      </c>
      <c r="CX71" t="str">
        <f>""</f>
        <v/>
      </c>
      <c r="CY71" t="str">
        <f>""</f>
        <v/>
      </c>
      <c r="CZ71" t="str">
        <f>""</f>
        <v/>
      </c>
      <c r="DA71" t="str">
        <f>""</f>
        <v/>
      </c>
      <c r="DB71" t="str">
        <f>""</f>
        <v/>
      </c>
      <c r="DC71" t="str">
        <f>""</f>
        <v/>
      </c>
      <c r="DD71" t="str">
        <f>""</f>
        <v/>
      </c>
      <c r="DE71" t="str">
        <f>""</f>
        <v/>
      </c>
      <c r="DF71" t="str">
        <f>""</f>
        <v/>
      </c>
      <c r="DG71" t="str">
        <f>""</f>
        <v/>
      </c>
      <c r="DH71" t="str">
        <f>""</f>
        <v/>
      </c>
      <c r="DI71" t="str">
        <f>""</f>
        <v/>
      </c>
      <c r="DJ71" t="str">
        <f>""</f>
        <v/>
      </c>
      <c r="DK71" t="str">
        <f>""</f>
        <v/>
      </c>
      <c r="DL71" t="str">
        <f>""</f>
        <v/>
      </c>
      <c r="DM71" t="str">
        <f>""</f>
        <v/>
      </c>
      <c r="DN71" t="str">
        <f>""</f>
        <v/>
      </c>
      <c r="DO71" t="str">
        <f>""</f>
        <v/>
      </c>
      <c r="DP71" t="str">
        <f>""</f>
        <v/>
      </c>
      <c r="DQ71" t="str">
        <f>""</f>
        <v/>
      </c>
      <c r="DR71" t="str">
        <f>""</f>
        <v/>
      </c>
      <c r="DS71" t="str">
        <f>""</f>
        <v/>
      </c>
    </row>
    <row r="72" spans="1:123" x14ac:dyDescent="0.25">
      <c r="A72" t="str">
        <f>$A$21</f>
        <v>By Geography ($M) - BMW</v>
      </c>
      <c r="B72" t="str">
        <f>$B$21</f>
        <v>BMW GR Equity</v>
      </c>
      <c r="C72" t="str">
        <f>$C$21</f>
        <v>IS010</v>
      </c>
      <c r="D72" t="str">
        <f>$D$21</f>
        <v>SALES_REV_TURN</v>
      </c>
      <c r="E72" t="str">
        <f>$E$21</f>
        <v>Dynamic</v>
      </c>
      <c r="F72" t="str">
        <f ca="1">_xll.BDH($B$21,$C$21,$B$51,$B$52,CONCATENATE("Per=",$B$49),"Dts=H","Dir=H",CONCATENATE("Points=",$B$50),"Sort=R","Days=A","Fill=B",CONCATENATE("FX=", $B$48) )</f>
        <v>#N/A Connection</v>
      </c>
      <c r="BM72" t="str">
        <f>""</f>
        <v/>
      </c>
      <c r="BN72" t="str">
        <f>""</f>
        <v/>
      </c>
      <c r="BO72" t="str">
        <f>""</f>
        <v/>
      </c>
      <c r="BP72" t="str">
        <f>""</f>
        <v/>
      </c>
      <c r="BQ72" t="str">
        <f>""</f>
        <v/>
      </c>
      <c r="BR72" t="str">
        <f>""</f>
        <v/>
      </c>
      <c r="BS72" t="str">
        <f>""</f>
        <v/>
      </c>
      <c r="BT72" t="str">
        <f>""</f>
        <v/>
      </c>
      <c r="BU72" t="str">
        <f>""</f>
        <v/>
      </c>
      <c r="BV72" t="str">
        <f>""</f>
        <v/>
      </c>
      <c r="BW72" t="str">
        <f>""</f>
        <v/>
      </c>
      <c r="BX72" t="str">
        <f>""</f>
        <v/>
      </c>
      <c r="BY72" t="str">
        <f>""</f>
        <v/>
      </c>
      <c r="BZ72" t="str">
        <f>""</f>
        <v/>
      </c>
      <c r="CA72" t="str">
        <f>""</f>
        <v/>
      </c>
      <c r="CB72" t="str">
        <f>""</f>
        <v/>
      </c>
      <c r="CC72" t="str">
        <f>""</f>
        <v/>
      </c>
      <c r="CD72" t="str">
        <f>""</f>
        <v/>
      </c>
      <c r="CE72" t="str">
        <f>""</f>
        <v/>
      </c>
      <c r="CF72" t="str">
        <f>""</f>
        <v/>
      </c>
      <c r="CG72" t="str">
        <f>""</f>
        <v/>
      </c>
      <c r="CH72" t="str">
        <f>""</f>
        <v/>
      </c>
      <c r="CI72" t="str">
        <f>""</f>
        <v/>
      </c>
      <c r="CJ72" t="str">
        <f>""</f>
        <v/>
      </c>
      <c r="CK72" t="str">
        <f>""</f>
        <v/>
      </c>
      <c r="CL72" t="str">
        <f>""</f>
        <v/>
      </c>
      <c r="CM72" t="str">
        <f>""</f>
        <v/>
      </c>
      <c r="CN72" t="str">
        <f>""</f>
        <v/>
      </c>
      <c r="CO72" t="str">
        <f>""</f>
        <v/>
      </c>
      <c r="CP72" t="str">
        <f>""</f>
        <v/>
      </c>
      <c r="CQ72" t="str">
        <f>""</f>
        <v/>
      </c>
      <c r="CR72" t="str">
        <f>""</f>
        <v/>
      </c>
      <c r="CS72" t="str">
        <f>""</f>
        <v/>
      </c>
      <c r="CT72" t="str">
        <f>""</f>
        <v/>
      </c>
      <c r="CU72" t="str">
        <f>""</f>
        <v/>
      </c>
      <c r="CV72" t="str">
        <f>""</f>
        <v/>
      </c>
      <c r="CW72" t="str">
        <f>""</f>
        <v/>
      </c>
      <c r="CX72" t="str">
        <f>""</f>
        <v/>
      </c>
      <c r="CY72" t="str">
        <f>""</f>
        <v/>
      </c>
      <c r="CZ72" t="str">
        <f>""</f>
        <v/>
      </c>
      <c r="DA72" t="str">
        <f>""</f>
        <v/>
      </c>
      <c r="DB72" t="str">
        <f>""</f>
        <v/>
      </c>
      <c r="DC72" t="str">
        <f>""</f>
        <v/>
      </c>
      <c r="DD72" t="str">
        <f>""</f>
        <v/>
      </c>
      <c r="DE72" t="str">
        <f>""</f>
        <v/>
      </c>
      <c r="DF72" t="str">
        <f>""</f>
        <v/>
      </c>
      <c r="DG72" t="str">
        <f>""</f>
        <v/>
      </c>
      <c r="DH72" t="str">
        <f>""</f>
        <v/>
      </c>
      <c r="DI72" t="str">
        <f>""</f>
        <v/>
      </c>
      <c r="DJ72" t="str">
        <f>""</f>
        <v/>
      </c>
      <c r="DK72" t="str">
        <f>""</f>
        <v/>
      </c>
      <c r="DL72" t="str">
        <f>""</f>
        <v/>
      </c>
      <c r="DM72" t="str">
        <f>""</f>
        <v/>
      </c>
      <c r="DN72" t="str">
        <f>""</f>
        <v/>
      </c>
      <c r="DO72" t="str">
        <f>""</f>
        <v/>
      </c>
      <c r="DP72" t="str">
        <f>""</f>
        <v/>
      </c>
      <c r="DQ72" t="str">
        <f>""</f>
        <v/>
      </c>
      <c r="DR72" t="str">
        <f>""</f>
        <v/>
      </c>
      <c r="DS72" t="str">
        <f>""</f>
        <v/>
      </c>
    </row>
    <row r="73" spans="1:123" x14ac:dyDescent="0.25">
      <c r="A73" t="str">
        <f>$A$22</f>
        <v>By Geography ($M) - Hyundai</v>
      </c>
      <c r="B73" t="str">
        <f>$B$22</f>
        <v>005380 KS Equity</v>
      </c>
      <c r="C73" t="str">
        <f>$C$22</f>
        <v>IS010</v>
      </c>
      <c r="D73" t="str">
        <f>$D$22</f>
        <v>SALES_REV_TURN</v>
      </c>
      <c r="E73" t="str">
        <f>$E$22</f>
        <v>Dynamic</v>
      </c>
      <c r="F73" t="str">
        <f ca="1">_xll.BDH($B$22,$C$22,$B$51,$B$52,CONCATENATE("Per=",$B$49),"Dts=H","Dir=H",CONCATENATE("Points=",$B$50),"Sort=R","Days=A","Fill=B","DS276=Y",CONCATENATE("FX=", $B$48) )</f>
        <v>#N/A Connection</v>
      </c>
      <c r="BM73" t="str">
        <f>""</f>
        <v/>
      </c>
      <c r="BN73" t="str">
        <f>""</f>
        <v/>
      </c>
      <c r="BO73" t="str">
        <f>""</f>
        <v/>
      </c>
      <c r="BP73" t="str">
        <f>""</f>
        <v/>
      </c>
      <c r="BQ73" t="str">
        <f>""</f>
        <v/>
      </c>
      <c r="BR73" t="str">
        <f>""</f>
        <v/>
      </c>
      <c r="BS73" t="str">
        <f>""</f>
        <v/>
      </c>
      <c r="BT73" t="str">
        <f>""</f>
        <v/>
      </c>
      <c r="BU73" t="str">
        <f>""</f>
        <v/>
      </c>
      <c r="BV73" t="str">
        <f>""</f>
        <v/>
      </c>
      <c r="BW73" t="str">
        <f>""</f>
        <v/>
      </c>
      <c r="BX73" t="str">
        <f>""</f>
        <v/>
      </c>
      <c r="BY73" t="str">
        <f>""</f>
        <v/>
      </c>
      <c r="BZ73" t="str">
        <f>""</f>
        <v/>
      </c>
      <c r="CA73" t="str">
        <f>""</f>
        <v/>
      </c>
      <c r="CB73" t="str">
        <f>""</f>
        <v/>
      </c>
      <c r="CC73" t="str">
        <f>""</f>
        <v/>
      </c>
      <c r="CD73" t="str">
        <f>""</f>
        <v/>
      </c>
      <c r="CE73" t="str">
        <f>""</f>
        <v/>
      </c>
      <c r="CF73" t="str">
        <f>""</f>
        <v/>
      </c>
      <c r="CG73" t="str">
        <f>""</f>
        <v/>
      </c>
      <c r="CH73" t="str">
        <f>""</f>
        <v/>
      </c>
      <c r="CI73" t="str">
        <f>""</f>
        <v/>
      </c>
      <c r="CJ73" t="str">
        <f>""</f>
        <v/>
      </c>
      <c r="CK73" t="str">
        <f>""</f>
        <v/>
      </c>
      <c r="CL73" t="str">
        <f>""</f>
        <v/>
      </c>
      <c r="CM73" t="str">
        <f>""</f>
        <v/>
      </c>
      <c r="CN73" t="str">
        <f>""</f>
        <v/>
      </c>
      <c r="CO73" t="str">
        <f>""</f>
        <v/>
      </c>
      <c r="CP73" t="str">
        <f>""</f>
        <v/>
      </c>
      <c r="CQ73" t="str">
        <f>""</f>
        <v/>
      </c>
      <c r="CR73" t="str">
        <f>""</f>
        <v/>
      </c>
      <c r="CS73" t="str">
        <f>""</f>
        <v/>
      </c>
      <c r="CT73" t="str">
        <f>""</f>
        <v/>
      </c>
      <c r="CU73" t="str">
        <f>""</f>
        <v/>
      </c>
      <c r="CV73" t="str">
        <f>""</f>
        <v/>
      </c>
      <c r="CW73" t="str">
        <f>""</f>
        <v/>
      </c>
      <c r="CX73" t="str">
        <f>""</f>
        <v/>
      </c>
      <c r="CY73" t="str">
        <f>""</f>
        <v/>
      </c>
      <c r="CZ73" t="str">
        <f>""</f>
        <v/>
      </c>
      <c r="DA73" t="str">
        <f>""</f>
        <v/>
      </c>
      <c r="DB73" t="str">
        <f>""</f>
        <v/>
      </c>
      <c r="DC73" t="str">
        <f>""</f>
        <v/>
      </c>
      <c r="DD73" t="str">
        <f>""</f>
        <v/>
      </c>
      <c r="DE73" t="str">
        <f>""</f>
        <v/>
      </c>
      <c r="DF73" t="str">
        <f>""</f>
        <v/>
      </c>
      <c r="DG73" t="str">
        <f>""</f>
        <v/>
      </c>
      <c r="DH73" t="str">
        <f>""</f>
        <v/>
      </c>
      <c r="DI73" t="str">
        <f>""</f>
        <v/>
      </c>
      <c r="DJ73" t="str">
        <f>""</f>
        <v/>
      </c>
      <c r="DK73" t="str">
        <f>""</f>
        <v/>
      </c>
      <c r="DL73" t="str">
        <f>""</f>
        <v/>
      </c>
      <c r="DM73" t="str">
        <f>""</f>
        <v/>
      </c>
      <c r="DN73" t="str">
        <f>""</f>
        <v/>
      </c>
      <c r="DO73" t="str">
        <f>""</f>
        <v/>
      </c>
      <c r="DP73" t="str">
        <f>""</f>
        <v/>
      </c>
      <c r="DQ73" t="str">
        <f>""</f>
        <v/>
      </c>
      <c r="DR73" t="str">
        <f>""</f>
        <v/>
      </c>
      <c r="DS73" t="str">
        <f>""</f>
        <v/>
      </c>
    </row>
    <row r="74" spans="1:123" x14ac:dyDescent="0.25">
      <c r="A74" t="str">
        <f>$A$23</f>
        <v>By Geography ($M) - Kia</v>
      </c>
      <c r="B74" t="str">
        <f>$B$23</f>
        <v>000270 KS Equity</v>
      </c>
      <c r="C74" t="str">
        <f>$C$23</f>
        <v>IS010</v>
      </c>
      <c r="D74" t="str">
        <f>$D$23</f>
        <v>SALES_REV_TURN</v>
      </c>
      <c r="E74" t="str">
        <f>$E$23</f>
        <v>Dynamic</v>
      </c>
      <c r="F74" t="str">
        <f ca="1">_xll.BDH($B$23,$C$23,$B$51,$B$52,CONCATENATE("Per=",$B$49),"Dts=H","Dir=H",CONCATENATE("Points=",$B$50),"Sort=R","Days=A","Fill=B","DS276=Y",CONCATENATE("FX=", $B$48) )</f>
        <v>#N/A Connection</v>
      </c>
      <c r="BM74" t="str">
        <f>""</f>
        <v/>
      </c>
      <c r="BN74" t="str">
        <f>""</f>
        <v/>
      </c>
      <c r="BO74" t="str">
        <f>""</f>
        <v/>
      </c>
      <c r="BP74" t="str">
        <f>""</f>
        <v/>
      </c>
      <c r="BQ74" t="str">
        <f>""</f>
        <v/>
      </c>
      <c r="BR74" t="str">
        <f>""</f>
        <v/>
      </c>
      <c r="BS74" t="str">
        <f>""</f>
        <v/>
      </c>
      <c r="BT74" t="str">
        <f>""</f>
        <v/>
      </c>
      <c r="BU74" t="str">
        <f>""</f>
        <v/>
      </c>
      <c r="BV74" t="str">
        <f>""</f>
        <v/>
      </c>
      <c r="BW74" t="str">
        <f>""</f>
        <v/>
      </c>
      <c r="BX74" t="str">
        <f>""</f>
        <v/>
      </c>
      <c r="BY74" t="str">
        <f>""</f>
        <v/>
      </c>
      <c r="BZ74" t="str">
        <f>""</f>
        <v/>
      </c>
      <c r="CA74" t="str">
        <f>""</f>
        <v/>
      </c>
      <c r="CB74" t="str">
        <f>""</f>
        <v/>
      </c>
      <c r="CC74" t="str">
        <f>""</f>
        <v/>
      </c>
      <c r="CD74" t="str">
        <f>""</f>
        <v/>
      </c>
      <c r="CE74" t="str">
        <f>""</f>
        <v/>
      </c>
      <c r="CF74" t="str">
        <f>""</f>
        <v/>
      </c>
      <c r="CG74" t="str">
        <f>""</f>
        <v/>
      </c>
      <c r="CH74" t="str">
        <f>""</f>
        <v/>
      </c>
      <c r="CI74" t="str">
        <f>""</f>
        <v/>
      </c>
      <c r="CJ74" t="str">
        <f>""</f>
        <v/>
      </c>
      <c r="CK74" t="str">
        <f>""</f>
        <v/>
      </c>
      <c r="CL74" t="str">
        <f>""</f>
        <v/>
      </c>
      <c r="CM74" t="str">
        <f>""</f>
        <v/>
      </c>
      <c r="CN74" t="str">
        <f>""</f>
        <v/>
      </c>
      <c r="CO74" t="str">
        <f>""</f>
        <v/>
      </c>
      <c r="CP74" t="str">
        <f>""</f>
        <v/>
      </c>
      <c r="CQ74" t="str">
        <f>""</f>
        <v/>
      </c>
      <c r="CR74" t="str">
        <f>""</f>
        <v/>
      </c>
      <c r="CS74" t="str">
        <f>""</f>
        <v/>
      </c>
      <c r="CT74" t="str">
        <f>""</f>
        <v/>
      </c>
      <c r="CU74" t="str">
        <f>""</f>
        <v/>
      </c>
      <c r="CV74" t="str">
        <f>""</f>
        <v/>
      </c>
      <c r="CW74" t="str">
        <f>""</f>
        <v/>
      </c>
      <c r="CX74" t="str">
        <f>""</f>
        <v/>
      </c>
      <c r="CY74" t="str">
        <f>""</f>
        <v/>
      </c>
      <c r="CZ74" t="str">
        <f>""</f>
        <v/>
      </c>
      <c r="DA74" t="str">
        <f>""</f>
        <v/>
      </c>
      <c r="DB74" t="str">
        <f>""</f>
        <v/>
      </c>
      <c r="DC74" t="str">
        <f>""</f>
        <v/>
      </c>
      <c r="DD74" t="str">
        <f>""</f>
        <v/>
      </c>
      <c r="DE74" t="str">
        <f>""</f>
        <v/>
      </c>
      <c r="DF74" t="str">
        <f>""</f>
        <v/>
      </c>
      <c r="DG74" t="str">
        <f>""</f>
        <v/>
      </c>
      <c r="DH74" t="str">
        <f>""</f>
        <v/>
      </c>
      <c r="DI74" t="str">
        <f>""</f>
        <v/>
      </c>
      <c r="DJ74" t="str">
        <f>""</f>
        <v/>
      </c>
      <c r="DK74" t="str">
        <f>""</f>
        <v/>
      </c>
      <c r="DL74" t="str">
        <f>""</f>
        <v/>
      </c>
      <c r="DM74" t="str">
        <f>""</f>
        <v/>
      </c>
      <c r="DN74" t="str">
        <f>""</f>
        <v/>
      </c>
      <c r="DO74" t="str">
        <f>""</f>
        <v/>
      </c>
      <c r="DP74" t="str">
        <f>""</f>
        <v/>
      </c>
      <c r="DQ74" t="str">
        <f>""</f>
        <v/>
      </c>
      <c r="DR74" t="str">
        <f>""</f>
        <v/>
      </c>
      <c r="DS74" t="str">
        <f>""</f>
        <v/>
      </c>
    </row>
    <row r="75" spans="1:123" x14ac:dyDescent="0.25">
      <c r="A75" t="str">
        <f>$A$24</f>
        <v xml:space="preserve">        North America</v>
      </c>
      <c r="B75" t="str">
        <f>$B$24</f>
        <v>000270 KS Equity</v>
      </c>
      <c r="C75" t="str">
        <f>$C$24</f>
        <v>BI047</v>
      </c>
      <c r="D75" t="str">
        <f>$D$24</f>
        <v>BICS_SEGMENT_DATA</v>
      </c>
      <c r="E75" t="str">
        <f>$E$24</f>
        <v>Dynamic</v>
      </c>
      <c r="F75" t="str">
        <f ca="1">_xll.BDH($B$24,$C$24,$B$51,$B$52,CONCATENATE("Per=",$B$49),"Dts=H","Dir=H",CONCATENATE("Points=",$B$50),"Sort=R","Days=A","Fill=B","DZ666=001","X0001=NA00","DZ667=1","DS276=Y",CONCATENATE("FX=", $B$48) )</f>
        <v>#N/A Connection</v>
      </c>
      <c r="BM75" t="str">
        <f>""</f>
        <v/>
      </c>
      <c r="BN75" t="str">
        <f>""</f>
        <v/>
      </c>
      <c r="BO75" t="str">
        <f>""</f>
        <v/>
      </c>
      <c r="BP75" t="str">
        <f>""</f>
        <v/>
      </c>
      <c r="BQ75" t="str">
        <f>""</f>
        <v/>
      </c>
      <c r="BR75" t="str">
        <f>""</f>
        <v/>
      </c>
      <c r="BS75" t="str">
        <f>""</f>
        <v/>
      </c>
      <c r="BT75" t="str">
        <f>""</f>
        <v/>
      </c>
      <c r="BU75" t="str">
        <f>""</f>
        <v/>
      </c>
      <c r="BV75" t="str">
        <f>""</f>
        <v/>
      </c>
      <c r="BW75" t="str">
        <f>""</f>
        <v/>
      </c>
      <c r="BX75" t="str">
        <f>""</f>
        <v/>
      </c>
      <c r="BY75" t="str">
        <f>""</f>
        <v/>
      </c>
      <c r="BZ75" t="str">
        <f>""</f>
        <v/>
      </c>
      <c r="CA75" t="str">
        <f>""</f>
        <v/>
      </c>
      <c r="CB75" t="str">
        <f>""</f>
        <v/>
      </c>
      <c r="CC75" t="str">
        <f>""</f>
        <v/>
      </c>
      <c r="CD75" t="str">
        <f>""</f>
        <v/>
      </c>
      <c r="CE75" t="str">
        <f>""</f>
        <v/>
      </c>
      <c r="CF75" t="str">
        <f>""</f>
        <v/>
      </c>
      <c r="CG75" t="str">
        <f>""</f>
        <v/>
      </c>
      <c r="CH75" t="str">
        <f>""</f>
        <v/>
      </c>
      <c r="CI75" t="str">
        <f>""</f>
        <v/>
      </c>
      <c r="CJ75" t="str">
        <f>""</f>
        <v/>
      </c>
      <c r="CK75" t="str">
        <f>""</f>
        <v/>
      </c>
      <c r="CL75" t="str">
        <f>""</f>
        <v/>
      </c>
      <c r="CM75" t="str">
        <f>""</f>
        <v/>
      </c>
      <c r="CN75" t="str">
        <f>""</f>
        <v/>
      </c>
      <c r="CO75" t="str">
        <f>""</f>
        <v/>
      </c>
      <c r="CP75" t="str">
        <f>""</f>
        <v/>
      </c>
      <c r="CQ75" t="str">
        <f>""</f>
        <v/>
      </c>
      <c r="CR75" t="str">
        <f>""</f>
        <v/>
      </c>
      <c r="CS75" t="str">
        <f>""</f>
        <v/>
      </c>
      <c r="CT75" t="str">
        <f>""</f>
        <v/>
      </c>
      <c r="CU75" t="str">
        <f>""</f>
        <v/>
      </c>
      <c r="CV75" t="str">
        <f>""</f>
        <v/>
      </c>
      <c r="CW75" t="str">
        <f>""</f>
        <v/>
      </c>
      <c r="CX75" t="str">
        <f>""</f>
        <v/>
      </c>
      <c r="CY75" t="str">
        <f>""</f>
        <v/>
      </c>
      <c r="CZ75" t="str">
        <f>""</f>
        <v/>
      </c>
      <c r="DA75" t="str">
        <f>""</f>
        <v/>
      </c>
      <c r="DB75" t="str">
        <f>""</f>
        <v/>
      </c>
      <c r="DC75" t="str">
        <f>""</f>
        <v/>
      </c>
      <c r="DD75" t="str">
        <f>""</f>
        <v/>
      </c>
      <c r="DE75" t="str">
        <f>""</f>
        <v/>
      </c>
      <c r="DF75" t="str">
        <f>""</f>
        <v/>
      </c>
      <c r="DG75" t="str">
        <f>""</f>
        <v/>
      </c>
      <c r="DH75" t="str">
        <f>""</f>
        <v/>
      </c>
      <c r="DI75" t="str">
        <f>""</f>
        <v/>
      </c>
      <c r="DJ75" t="str">
        <f>""</f>
        <v/>
      </c>
      <c r="DK75" t="str">
        <f>""</f>
        <v/>
      </c>
      <c r="DL75" t="str">
        <f>""</f>
        <v/>
      </c>
      <c r="DM75" t="str">
        <f>""</f>
        <v/>
      </c>
      <c r="DN75" t="str">
        <f>""</f>
        <v/>
      </c>
      <c r="DO75" t="str">
        <f>""</f>
        <v/>
      </c>
      <c r="DP75" t="str">
        <f>""</f>
        <v/>
      </c>
      <c r="DQ75" t="str">
        <f>""</f>
        <v/>
      </c>
      <c r="DR75" t="str">
        <f>""</f>
        <v/>
      </c>
      <c r="DS75" t="str">
        <f>""</f>
        <v/>
      </c>
    </row>
    <row r="76" spans="1:123" x14ac:dyDescent="0.25">
      <c r="A76" t="str">
        <f>$A$25</f>
        <v>By Geography ($M) - Tata</v>
      </c>
      <c r="B76" t="str">
        <f>$B$25</f>
        <v>TTMT IN Equity</v>
      </c>
      <c r="C76" t="str">
        <f>$C$25</f>
        <v>IS010</v>
      </c>
      <c r="D76" t="str">
        <f>$D$25</f>
        <v>SALES_REV_TURN</v>
      </c>
      <c r="E76" t="str">
        <f>$E$25</f>
        <v>Dynamic</v>
      </c>
      <c r="F76" t="str">
        <f ca="1">_xll.BDH($B$25,$C$25,$B$51,$B$52,CONCATENATE("Per=",$B$49),"Dts=H","Dir=H",CONCATENATE("Points=",$B$50),"Sort=R","Days=A","Fill=B",CONCATENATE("FX=", $B$48) )</f>
        <v>#N/A Connection</v>
      </c>
      <c r="BM76" t="str">
        <f>""</f>
        <v/>
      </c>
      <c r="BN76" t="str">
        <f>""</f>
        <v/>
      </c>
      <c r="BO76" t="str">
        <f>""</f>
        <v/>
      </c>
      <c r="BP76" t="str">
        <f>""</f>
        <v/>
      </c>
      <c r="BQ76" t="str">
        <f>""</f>
        <v/>
      </c>
      <c r="BR76" t="str">
        <f>""</f>
        <v/>
      </c>
      <c r="BS76" t="str">
        <f>""</f>
        <v/>
      </c>
      <c r="BT76" t="str">
        <f>""</f>
        <v/>
      </c>
      <c r="BU76" t="str">
        <f>""</f>
        <v/>
      </c>
      <c r="BV76" t="str">
        <f>""</f>
        <v/>
      </c>
      <c r="BW76" t="str">
        <f>""</f>
        <v/>
      </c>
      <c r="BX76" t="str">
        <f>""</f>
        <v/>
      </c>
      <c r="BY76" t="str">
        <f>""</f>
        <v/>
      </c>
      <c r="BZ76" t="str">
        <f>""</f>
        <v/>
      </c>
      <c r="CA76" t="str">
        <f>""</f>
        <v/>
      </c>
      <c r="CB76" t="str">
        <f>""</f>
        <v/>
      </c>
      <c r="CC76" t="str">
        <f>""</f>
        <v/>
      </c>
      <c r="CD76" t="str">
        <f>""</f>
        <v/>
      </c>
      <c r="CE76" t="str">
        <f>""</f>
        <v/>
      </c>
      <c r="CF76" t="str">
        <f>""</f>
        <v/>
      </c>
      <c r="CG76" t="str">
        <f>""</f>
        <v/>
      </c>
      <c r="CH76" t="str">
        <f>""</f>
        <v/>
      </c>
      <c r="CI76" t="str">
        <f>""</f>
        <v/>
      </c>
      <c r="CJ76" t="str">
        <f>""</f>
        <v/>
      </c>
      <c r="CK76" t="str">
        <f>""</f>
        <v/>
      </c>
      <c r="CL76" t="str">
        <f>""</f>
        <v/>
      </c>
      <c r="CM76" t="str">
        <f>""</f>
        <v/>
      </c>
      <c r="CN76" t="str">
        <f>""</f>
        <v/>
      </c>
      <c r="CO76" t="str">
        <f>""</f>
        <v/>
      </c>
      <c r="CP76" t="str">
        <f>""</f>
        <v/>
      </c>
      <c r="CQ76" t="str">
        <f>""</f>
        <v/>
      </c>
      <c r="CR76" t="str">
        <f>""</f>
        <v/>
      </c>
      <c r="CS76" t="str">
        <f>""</f>
        <v/>
      </c>
      <c r="CT76" t="str">
        <f>""</f>
        <v/>
      </c>
      <c r="CU76" t="str">
        <f>""</f>
        <v/>
      </c>
      <c r="CV76" t="str">
        <f>""</f>
        <v/>
      </c>
      <c r="CW76" t="str">
        <f>""</f>
        <v/>
      </c>
      <c r="CX76" t="str">
        <f>""</f>
        <v/>
      </c>
      <c r="CY76" t="str">
        <f>""</f>
        <v/>
      </c>
      <c r="CZ76" t="str">
        <f>""</f>
        <v/>
      </c>
      <c r="DA76" t="str">
        <f>""</f>
        <v/>
      </c>
      <c r="DB76" t="str">
        <f>""</f>
        <v/>
      </c>
      <c r="DC76" t="str">
        <f>""</f>
        <v/>
      </c>
      <c r="DD76" t="str">
        <f>""</f>
        <v/>
      </c>
      <c r="DE76" t="str">
        <f>""</f>
        <v/>
      </c>
      <c r="DF76" t="str">
        <f>""</f>
        <v/>
      </c>
      <c r="DG76" t="str">
        <f>""</f>
        <v/>
      </c>
      <c r="DH76" t="str">
        <f>""</f>
        <v/>
      </c>
      <c r="DI76" t="str">
        <f>""</f>
        <v/>
      </c>
      <c r="DJ76" t="str">
        <f>""</f>
        <v/>
      </c>
      <c r="DK76" t="str">
        <f>""</f>
        <v/>
      </c>
      <c r="DL76" t="str">
        <f>""</f>
        <v/>
      </c>
      <c r="DM76" t="str">
        <f>""</f>
        <v/>
      </c>
      <c r="DN76" t="str">
        <f>""</f>
        <v/>
      </c>
      <c r="DO76" t="str">
        <f>""</f>
        <v/>
      </c>
      <c r="DP76" t="str">
        <f>""</f>
        <v/>
      </c>
      <c r="DQ76" t="str">
        <f>""</f>
        <v/>
      </c>
      <c r="DR76" t="str">
        <f>""</f>
        <v/>
      </c>
      <c r="DS76" t="str">
        <f>""</f>
        <v/>
      </c>
    </row>
    <row r="77" spans="1:123" x14ac:dyDescent="0.25">
      <c r="A77" t="str">
        <f>$A$26</f>
        <v>By Geography ($M) - Suzuki</v>
      </c>
      <c r="B77" t="str">
        <f>$B$26</f>
        <v>7269 JP Equity</v>
      </c>
      <c r="C77" t="str">
        <f>$C$26</f>
        <v>IS010</v>
      </c>
      <c r="D77" t="str">
        <f>$D$26</f>
        <v>SALES_REV_TURN</v>
      </c>
      <c r="E77" t="str">
        <f>$E$26</f>
        <v>Dynamic</v>
      </c>
      <c r="F77" t="str">
        <f ca="1">_xll.BDH($B$26,$C$26,$B$51,$B$52,CONCATENATE("Per=",$B$49),"Dts=H","Dir=H",CONCATENATE("Points=",$B$50),"Sort=R","Days=A","Fill=B",CONCATENATE("FX=", $B$48) )</f>
        <v>#N/A Connection</v>
      </c>
      <c r="BM77" t="str">
        <f>""</f>
        <v/>
      </c>
      <c r="BN77" t="str">
        <f>""</f>
        <v/>
      </c>
      <c r="BO77" t="str">
        <f>""</f>
        <v/>
      </c>
      <c r="BP77" t="str">
        <f>""</f>
        <v/>
      </c>
      <c r="BQ77" t="str">
        <f>""</f>
        <v/>
      </c>
      <c r="BR77" t="str">
        <f>""</f>
        <v/>
      </c>
      <c r="BS77" t="str">
        <f>""</f>
        <v/>
      </c>
      <c r="BT77" t="str">
        <f>""</f>
        <v/>
      </c>
      <c r="BU77" t="str">
        <f>""</f>
        <v/>
      </c>
      <c r="BV77" t="str">
        <f>""</f>
        <v/>
      </c>
      <c r="BW77" t="str">
        <f>""</f>
        <v/>
      </c>
      <c r="BX77" t="str">
        <f>""</f>
        <v/>
      </c>
      <c r="BY77" t="str">
        <f>""</f>
        <v/>
      </c>
      <c r="BZ77" t="str">
        <f>""</f>
        <v/>
      </c>
      <c r="CA77" t="str">
        <f>""</f>
        <v/>
      </c>
      <c r="CB77" t="str">
        <f>""</f>
        <v/>
      </c>
      <c r="CC77" t="str">
        <f>""</f>
        <v/>
      </c>
      <c r="CD77" t="str">
        <f>""</f>
        <v/>
      </c>
      <c r="CE77" t="str">
        <f>""</f>
        <v/>
      </c>
      <c r="CF77" t="str">
        <f>""</f>
        <v/>
      </c>
      <c r="CG77" t="str">
        <f>""</f>
        <v/>
      </c>
      <c r="CH77" t="str">
        <f>""</f>
        <v/>
      </c>
      <c r="CI77" t="str">
        <f>""</f>
        <v/>
      </c>
      <c r="CJ77" t="str">
        <f>""</f>
        <v/>
      </c>
      <c r="CK77" t="str">
        <f>""</f>
        <v/>
      </c>
      <c r="CL77" t="str">
        <f>""</f>
        <v/>
      </c>
      <c r="CM77" t="str">
        <f>""</f>
        <v/>
      </c>
      <c r="CN77" t="str">
        <f>""</f>
        <v/>
      </c>
      <c r="CO77" t="str">
        <f>""</f>
        <v/>
      </c>
      <c r="CP77" t="str">
        <f>""</f>
        <v/>
      </c>
      <c r="CQ77" t="str">
        <f>""</f>
        <v/>
      </c>
      <c r="CR77" t="str">
        <f>""</f>
        <v/>
      </c>
      <c r="CS77" t="str">
        <f>""</f>
        <v/>
      </c>
      <c r="CT77" t="str">
        <f>""</f>
        <v/>
      </c>
      <c r="CU77" t="str">
        <f>""</f>
        <v/>
      </c>
      <c r="CV77" t="str">
        <f>""</f>
        <v/>
      </c>
      <c r="CW77" t="str">
        <f>""</f>
        <v/>
      </c>
      <c r="CX77" t="str">
        <f>""</f>
        <v/>
      </c>
      <c r="CY77" t="str">
        <f>""</f>
        <v/>
      </c>
      <c r="CZ77" t="str">
        <f>""</f>
        <v/>
      </c>
      <c r="DA77" t="str">
        <f>""</f>
        <v/>
      </c>
      <c r="DB77" t="str">
        <f>""</f>
        <v/>
      </c>
      <c r="DC77" t="str">
        <f>""</f>
        <v/>
      </c>
      <c r="DD77" t="str">
        <f>""</f>
        <v/>
      </c>
      <c r="DE77" t="str">
        <f>""</f>
        <v/>
      </c>
      <c r="DF77" t="str">
        <f>""</f>
        <v/>
      </c>
      <c r="DG77" t="str">
        <f>""</f>
        <v/>
      </c>
      <c r="DH77" t="str">
        <f>""</f>
        <v/>
      </c>
      <c r="DI77" t="str">
        <f>""</f>
        <v/>
      </c>
      <c r="DJ77" t="str">
        <f>""</f>
        <v/>
      </c>
      <c r="DK77" t="str">
        <f>""</f>
        <v/>
      </c>
      <c r="DL77" t="str">
        <f>""</f>
        <v/>
      </c>
      <c r="DM77" t="str">
        <f>""</f>
        <v/>
      </c>
      <c r="DN77" t="str">
        <f>""</f>
        <v/>
      </c>
      <c r="DO77" t="str">
        <f>""</f>
        <v/>
      </c>
      <c r="DP77" t="str">
        <f>""</f>
        <v/>
      </c>
      <c r="DQ77" t="str">
        <f>""</f>
        <v/>
      </c>
      <c r="DR77" t="str">
        <f>""</f>
        <v/>
      </c>
      <c r="DS77" t="str">
        <f>""</f>
        <v/>
      </c>
    </row>
    <row r="78" spans="1:123" x14ac:dyDescent="0.25">
      <c r="A78" t="str">
        <f>$A$27</f>
        <v xml:space="preserve">        North America</v>
      </c>
      <c r="B78" t="str">
        <f>$B$27</f>
        <v>7269 JP Equity</v>
      </c>
      <c r="C78" t="str">
        <f>$C$27</f>
        <v>BI047</v>
      </c>
      <c r="D78" t="str">
        <f>$D$27</f>
        <v>BICS_SEGMENT_DATA</v>
      </c>
      <c r="E78" t="str">
        <f>$E$27</f>
        <v>Dynamic</v>
      </c>
      <c r="F78" t="str">
        <f ca="1">_xll.BDH($B$27,$C$27,$B$51,$B$52,CONCATENATE("Per=",$B$49),"Dts=H","Dir=H",CONCATENATE("Points=",$B$50),"Sort=R","Days=A","Fill=B","DZ666=001","X0001=NA00","DZ667=1","DS276=Y",CONCATENATE("FX=", $B$48) )</f>
        <v>#N/A Connection</v>
      </c>
      <c r="BM78" t="str">
        <f>""</f>
        <v/>
      </c>
      <c r="BN78" t="str">
        <f>""</f>
        <v/>
      </c>
      <c r="BO78" t="str">
        <f>""</f>
        <v/>
      </c>
      <c r="BP78" t="str">
        <f>""</f>
        <v/>
      </c>
      <c r="BQ78" t="str">
        <f>""</f>
        <v/>
      </c>
      <c r="BR78" t="str">
        <f>""</f>
        <v/>
      </c>
      <c r="BS78" t="str">
        <f>""</f>
        <v/>
      </c>
      <c r="BT78" t="str">
        <f>""</f>
        <v/>
      </c>
      <c r="BU78" t="str">
        <f>""</f>
        <v/>
      </c>
      <c r="BV78" t="str">
        <f>""</f>
        <v/>
      </c>
      <c r="BW78" t="str">
        <f>""</f>
        <v/>
      </c>
      <c r="BX78" t="str">
        <f>""</f>
        <v/>
      </c>
      <c r="BY78" t="str">
        <f>""</f>
        <v/>
      </c>
      <c r="BZ78" t="str">
        <f>""</f>
        <v/>
      </c>
      <c r="CA78" t="str">
        <f>""</f>
        <v/>
      </c>
      <c r="CB78" t="str">
        <f>""</f>
        <v/>
      </c>
      <c r="CC78" t="str">
        <f>""</f>
        <v/>
      </c>
      <c r="CD78" t="str">
        <f>""</f>
        <v/>
      </c>
      <c r="CE78" t="str">
        <f>""</f>
        <v/>
      </c>
      <c r="CF78" t="str">
        <f>""</f>
        <v/>
      </c>
      <c r="CG78" t="str">
        <f>""</f>
        <v/>
      </c>
      <c r="CH78" t="str">
        <f>""</f>
        <v/>
      </c>
      <c r="CI78" t="str">
        <f>""</f>
        <v/>
      </c>
      <c r="CJ78" t="str">
        <f>""</f>
        <v/>
      </c>
      <c r="CK78" t="str">
        <f>""</f>
        <v/>
      </c>
      <c r="CL78" t="str">
        <f>""</f>
        <v/>
      </c>
      <c r="CM78" t="str">
        <f>""</f>
        <v/>
      </c>
      <c r="CN78" t="str">
        <f>""</f>
        <v/>
      </c>
      <c r="CO78" t="str">
        <f>""</f>
        <v/>
      </c>
      <c r="CP78" t="str">
        <f>""</f>
        <v/>
      </c>
      <c r="CQ78" t="str">
        <f>""</f>
        <v/>
      </c>
      <c r="CR78" t="str">
        <f>""</f>
        <v/>
      </c>
      <c r="CS78" t="str">
        <f>""</f>
        <v/>
      </c>
      <c r="CT78" t="str">
        <f>""</f>
        <v/>
      </c>
      <c r="CU78" t="str">
        <f>""</f>
        <v/>
      </c>
      <c r="CV78" t="str">
        <f>""</f>
        <v/>
      </c>
      <c r="CW78" t="str">
        <f>""</f>
        <v/>
      </c>
      <c r="CX78" t="str">
        <f>""</f>
        <v/>
      </c>
      <c r="CY78" t="str">
        <f>""</f>
        <v/>
      </c>
      <c r="CZ78" t="str">
        <f>""</f>
        <v/>
      </c>
      <c r="DA78" t="str">
        <f>""</f>
        <v/>
      </c>
      <c r="DB78" t="str">
        <f>""</f>
        <v/>
      </c>
      <c r="DC78" t="str">
        <f>""</f>
        <v/>
      </c>
      <c r="DD78" t="str">
        <f>""</f>
        <v/>
      </c>
      <c r="DE78" t="str">
        <f>""</f>
        <v/>
      </c>
      <c r="DF78" t="str">
        <f>""</f>
        <v/>
      </c>
      <c r="DG78" t="str">
        <f>""</f>
        <v/>
      </c>
      <c r="DH78" t="str">
        <f>""</f>
        <v/>
      </c>
      <c r="DI78" t="str">
        <f>""</f>
        <v/>
      </c>
      <c r="DJ78" t="str">
        <f>""</f>
        <v/>
      </c>
      <c r="DK78" t="str">
        <f>""</f>
        <v/>
      </c>
      <c r="DL78" t="str">
        <f>""</f>
        <v/>
      </c>
      <c r="DM78" t="str">
        <f>""</f>
        <v/>
      </c>
      <c r="DN78" t="str">
        <f>""</f>
        <v/>
      </c>
      <c r="DO78" t="str">
        <f>""</f>
        <v/>
      </c>
      <c r="DP78" t="str">
        <f>""</f>
        <v/>
      </c>
      <c r="DQ78" t="str">
        <f>""</f>
        <v/>
      </c>
      <c r="DR78" t="str">
        <f>""</f>
        <v/>
      </c>
      <c r="DS78" t="str">
        <f>""</f>
        <v/>
      </c>
    </row>
    <row r="79" spans="1:123" x14ac:dyDescent="0.25">
      <c r="A79" t="str">
        <f>$A$28</f>
        <v>By Geography ($M) - Mazda</v>
      </c>
      <c r="B79" t="str">
        <f>$B$28</f>
        <v>7261 JP Equity</v>
      </c>
      <c r="C79" t="str">
        <f>$C$28</f>
        <v>IS010</v>
      </c>
      <c r="D79" t="str">
        <f>$D$28</f>
        <v>SALES_REV_TURN</v>
      </c>
      <c r="E79" t="str">
        <f>$E$28</f>
        <v>Dynamic</v>
      </c>
      <c r="F79" t="str">
        <f ca="1">_xll.BDH($B$28,$C$28,$B$51,$B$52,CONCATENATE("Per=",$B$49),"Dts=H","Dir=H",CONCATENATE("Points=",$B$50),"Sort=R","Days=A","Fill=B",CONCATENATE("FX=", $B$48) )</f>
        <v>#N/A Connection</v>
      </c>
      <c r="BM79" t="str">
        <f>""</f>
        <v/>
      </c>
      <c r="BN79" t="str">
        <f>""</f>
        <v/>
      </c>
      <c r="BO79" t="str">
        <f>""</f>
        <v/>
      </c>
      <c r="BP79" t="str">
        <f>""</f>
        <v/>
      </c>
      <c r="BQ79" t="str">
        <f>""</f>
        <v/>
      </c>
      <c r="BR79" t="str">
        <f>""</f>
        <v/>
      </c>
      <c r="BS79" t="str">
        <f>""</f>
        <v/>
      </c>
      <c r="BT79" t="str">
        <f>""</f>
        <v/>
      </c>
      <c r="BU79" t="str">
        <f>""</f>
        <v/>
      </c>
      <c r="BV79" t="str">
        <f>""</f>
        <v/>
      </c>
      <c r="BW79" t="str">
        <f>""</f>
        <v/>
      </c>
      <c r="BX79" t="str">
        <f>""</f>
        <v/>
      </c>
      <c r="BY79" t="str">
        <f>""</f>
        <v/>
      </c>
      <c r="BZ79" t="str">
        <f>""</f>
        <v/>
      </c>
      <c r="CA79" t="str">
        <f>""</f>
        <v/>
      </c>
      <c r="CB79" t="str">
        <f>""</f>
        <v/>
      </c>
      <c r="CC79" t="str">
        <f>""</f>
        <v/>
      </c>
      <c r="CD79" t="str">
        <f>""</f>
        <v/>
      </c>
      <c r="CE79" t="str">
        <f>""</f>
        <v/>
      </c>
      <c r="CF79" t="str">
        <f>""</f>
        <v/>
      </c>
      <c r="CG79" t="str">
        <f>""</f>
        <v/>
      </c>
      <c r="CH79" t="str">
        <f>""</f>
        <v/>
      </c>
      <c r="CI79" t="str">
        <f>""</f>
        <v/>
      </c>
      <c r="CJ79" t="str">
        <f>""</f>
        <v/>
      </c>
      <c r="CK79" t="str">
        <f>""</f>
        <v/>
      </c>
      <c r="CL79" t="str">
        <f>""</f>
        <v/>
      </c>
      <c r="CM79" t="str">
        <f>""</f>
        <v/>
      </c>
      <c r="CN79" t="str">
        <f>""</f>
        <v/>
      </c>
      <c r="CO79" t="str">
        <f>""</f>
        <v/>
      </c>
      <c r="CP79" t="str">
        <f>""</f>
        <v/>
      </c>
      <c r="CQ79" t="str">
        <f>""</f>
        <v/>
      </c>
      <c r="CR79" t="str">
        <f>""</f>
        <v/>
      </c>
      <c r="CS79" t="str">
        <f>""</f>
        <v/>
      </c>
      <c r="CT79" t="str">
        <f>""</f>
        <v/>
      </c>
      <c r="CU79" t="str">
        <f>""</f>
        <v/>
      </c>
      <c r="CV79" t="str">
        <f>""</f>
        <v/>
      </c>
      <c r="CW79" t="str">
        <f>""</f>
        <v/>
      </c>
      <c r="CX79" t="str">
        <f>""</f>
        <v/>
      </c>
      <c r="CY79" t="str">
        <f>""</f>
        <v/>
      </c>
      <c r="CZ79" t="str">
        <f>""</f>
        <v/>
      </c>
      <c r="DA79" t="str">
        <f>""</f>
        <v/>
      </c>
      <c r="DB79" t="str">
        <f>""</f>
        <v/>
      </c>
      <c r="DC79" t="str">
        <f>""</f>
        <v/>
      </c>
      <c r="DD79" t="str">
        <f>""</f>
        <v/>
      </c>
      <c r="DE79" t="str">
        <f>""</f>
        <v/>
      </c>
      <c r="DF79" t="str">
        <f>""</f>
        <v/>
      </c>
      <c r="DG79" t="str">
        <f>""</f>
        <v/>
      </c>
      <c r="DH79" t="str">
        <f>""</f>
        <v/>
      </c>
      <c r="DI79" t="str">
        <f>""</f>
        <v/>
      </c>
      <c r="DJ79" t="str">
        <f>""</f>
        <v/>
      </c>
      <c r="DK79" t="str">
        <f>""</f>
        <v/>
      </c>
      <c r="DL79" t="str">
        <f>""</f>
        <v/>
      </c>
      <c r="DM79" t="str">
        <f>""</f>
        <v/>
      </c>
      <c r="DN79" t="str">
        <f>""</f>
        <v/>
      </c>
      <c r="DO79" t="str">
        <f>""</f>
        <v/>
      </c>
      <c r="DP79" t="str">
        <f>""</f>
        <v/>
      </c>
      <c r="DQ79" t="str">
        <f>""</f>
        <v/>
      </c>
      <c r="DR79" t="str">
        <f>""</f>
        <v/>
      </c>
      <c r="DS79" t="str">
        <f>""</f>
        <v/>
      </c>
    </row>
    <row r="80" spans="1:123" x14ac:dyDescent="0.25">
      <c r="A80" t="str">
        <f>$A$29</f>
        <v xml:space="preserve">        North America</v>
      </c>
      <c r="B80" t="str">
        <f>$B$29</f>
        <v>7261 JP Equity</v>
      </c>
      <c r="C80" t="str">
        <f>$C$29</f>
        <v>BI047</v>
      </c>
      <c r="D80" t="str">
        <f>$D$29</f>
        <v>BICS_SEGMENT_DATA</v>
      </c>
      <c r="E80" t="str">
        <f>$E$29</f>
        <v>Dynamic</v>
      </c>
      <c r="F80" t="str">
        <f ca="1">_xll.BDH($B$29,$C$29,$B$51,$B$52,CONCATENATE("Per=",$B$49),"Dts=H","Dir=H",CONCATENATE("Points=",$B$50),"Sort=R","Days=A","Fill=B","DZ666=001","X0001=NA00","DZ667=1","DS276=Y",CONCATENATE("FX=", $B$48) )</f>
        <v>#N/A Connection</v>
      </c>
      <c r="BM80" t="str">
        <f>""</f>
        <v/>
      </c>
      <c r="BN80" t="str">
        <f>""</f>
        <v/>
      </c>
      <c r="BO80" t="str">
        <f>""</f>
        <v/>
      </c>
      <c r="BP80" t="str">
        <f>""</f>
        <v/>
      </c>
      <c r="BQ80" t="str">
        <f>""</f>
        <v/>
      </c>
      <c r="BR80" t="str">
        <f>""</f>
        <v/>
      </c>
      <c r="BS80" t="str">
        <f>""</f>
        <v/>
      </c>
      <c r="BT80" t="str">
        <f>""</f>
        <v/>
      </c>
      <c r="BU80" t="str">
        <f>""</f>
        <v/>
      </c>
      <c r="BV80" t="str">
        <f>""</f>
        <v/>
      </c>
      <c r="BW80" t="str">
        <f>""</f>
        <v/>
      </c>
      <c r="BX80" t="str">
        <f>""</f>
        <v/>
      </c>
      <c r="BY80" t="str">
        <f>""</f>
        <v/>
      </c>
      <c r="BZ80" t="str">
        <f>""</f>
        <v/>
      </c>
      <c r="CA80" t="str">
        <f>""</f>
        <v/>
      </c>
      <c r="CB80" t="str">
        <f>""</f>
        <v/>
      </c>
      <c r="CC80" t="str">
        <f>""</f>
        <v/>
      </c>
      <c r="CD80" t="str">
        <f>""</f>
        <v/>
      </c>
      <c r="CE80" t="str">
        <f>""</f>
        <v/>
      </c>
      <c r="CF80" t="str">
        <f>""</f>
        <v/>
      </c>
      <c r="CG80" t="str">
        <f>""</f>
        <v/>
      </c>
      <c r="CH80" t="str">
        <f>""</f>
        <v/>
      </c>
      <c r="CI80" t="str">
        <f>""</f>
        <v/>
      </c>
      <c r="CJ80" t="str">
        <f>""</f>
        <v/>
      </c>
      <c r="CK80" t="str">
        <f>""</f>
        <v/>
      </c>
      <c r="CL80" t="str">
        <f>""</f>
        <v/>
      </c>
      <c r="CM80" t="str">
        <f>""</f>
        <v/>
      </c>
      <c r="CN80" t="str">
        <f>""</f>
        <v/>
      </c>
      <c r="CO80" t="str">
        <f>""</f>
        <v/>
      </c>
      <c r="CP80" t="str">
        <f>""</f>
        <v/>
      </c>
      <c r="CQ80" t="str">
        <f>""</f>
        <v/>
      </c>
      <c r="CR80" t="str">
        <f>""</f>
        <v/>
      </c>
      <c r="CS80" t="str">
        <f>""</f>
        <v/>
      </c>
      <c r="CT80" t="str">
        <f>""</f>
        <v/>
      </c>
      <c r="CU80" t="str">
        <f>""</f>
        <v/>
      </c>
      <c r="CV80" t="str">
        <f>""</f>
        <v/>
      </c>
      <c r="CW80" t="str">
        <f>""</f>
        <v/>
      </c>
      <c r="CX80" t="str">
        <f>""</f>
        <v/>
      </c>
      <c r="CY80" t="str">
        <f>""</f>
        <v/>
      </c>
      <c r="CZ80" t="str">
        <f>""</f>
        <v/>
      </c>
      <c r="DA80" t="str">
        <f>""</f>
        <v/>
      </c>
      <c r="DB80" t="str">
        <f>""</f>
        <v/>
      </c>
      <c r="DC80" t="str">
        <f>""</f>
        <v/>
      </c>
      <c r="DD80" t="str">
        <f>""</f>
        <v/>
      </c>
      <c r="DE80" t="str">
        <f>""</f>
        <v/>
      </c>
      <c r="DF80" t="str">
        <f>""</f>
        <v/>
      </c>
      <c r="DG80" t="str">
        <f>""</f>
        <v/>
      </c>
      <c r="DH80" t="str">
        <f>""</f>
        <v/>
      </c>
      <c r="DI80" t="str">
        <f>""</f>
        <v/>
      </c>
      <c r="DJ80" t="str">
        <f>""</f>
        <v/>
      </c>
      <c r="DK80" t="str">
        <f>""</f>
        <v/>
      </c>
      <c r="DL80" t="str">
        <f>""</f>
        <v/>
      </c>
      <c r="DM80" t="str">
        <f>""</f>
        <v/>
      </c>
      <c r="DN80" t="str">
        <f>""</f>
        <v/>
      </c>
      <c r="DO80" t="str">
        <f>""</f>
        <v/>
      </c>
      <c r="DP80" t="str">
        <f>""</f>
        <v/>
      </c>
      <c r="DQ80" t="str">
        <f>""</f>
        <v/>
      </c>
      <c r="DR80" t="str">
        <f>""</f>
        <v/>
      </c>
      <c r="DS80" t="str">
        <f>""</f>
        <v/>
      </c>
    </row>
    <row r="81" spans="1:123" x14ac:dyDescent="0.25">
      <c r="A81" t="str">
        <f>$A$30</f>
        <v>By Geography ($M) - Fuji Heavy Industries</v>
      </c>
      <c r="B81" t="str">
        <f>$B$30</f>
        <v>7270 JP Equity</v>
      </c>
      <c r="C81" t="str">
        <f>$C$30</f>
        <v>IS010</v>
      </c>
      <c r="D81" t="str">
        <f>$D$30</f>
        <v>SALES_REV_TURN</v>
      </c>
      <c r="E81" t="str">
        <f>$E$30</f>
        <v>Dynamic</v>
      </c>
      <c r="F81" t="str">
        <f ca="1">_xll.BDH($B$30,$C$30,$B$51,$B$52,CONCATENATE("Per=",$B$49),"Dts=H","Dir=H",CONCATENATE("Points=",$B$50),"Sort=R","Days=A","Fill=B",CONCATENATE("FX=", $B$48) )</f>
        <v>#N/A Connection</v>
      </c>
      <c r="BM81" t="str">
        <f>""</f>
        <v/>
      </c>
      <c r="BN81" t="str">
        <f>""</f>
        <v/>
      </c>
      <c r="BO81" t="str">
        <f>""</f>
        <v/>
      </c>
      <c r="BP81" t="str">
        <f>""</f>
        <v/>
      </c>
      <c r="BQ81" t="str">
        <f>""</f>
        <v/>
      </c>
      <c r="BR81" t="str">
        <f>""</f>
        <v/>
      </c>
      <c r="BS81" t="str">
        <f>""</f>
        <v/>
      </c>
      <c r="BT81" t="str">
        <f>""</f>
        <v/>
      </c>
      <c r="BU81" t="str">
        <f>""</f>
        <v/>
      </c>
      <c r="BV81" t="str">
        <f>""</f>
        <v/>
      </c>
      <c r="BW81" t="str">
        <f>""</f>
        <v/>
      </c>
      <c r="BX81" t="str">
        <f>""</f>
        <v/>
      </c>
      <c r="BY81" t="str">
        <f>""</f>
        <v/>
      </c>
      <c r="BZ81" t="str">
        <f>""</f>
        <v/>
      </c>
      <c r="CA81" t="str">
        <f>""</f>
        <v/>
      </c>
      <c r="CB81" t="str">
        <f>""</f>
        <v/>
      </c>
      <c r="CC81" t="str">
        <f>""</f>
        <v/>
      </c>
      <c r="CD81" t="str">
        <f>""</f>
        <v/>
      </c>
      <c r="CE81" t="str">
        <f>""</f>
        <v/>
      </c>
      <c r="CF81" t="str">
        <f>""</f>
        <v/>
      </c>
      <c r="CG81" t="str">
        <f>""</f>
        <v/>
      </c>
      <c r="CH81" t="str">
        <f>""</f>
        <v/>
      </c>
      <c r="CI81" t="str">
        <f>""</f>
        <v/>
      </c>
      <c r="CJ81" t="str">
        <f>""</f>
        <v/>
      </c>
      <c r="CK81" t="str">
        <f>""</f>
        <v/>
      </c>
      <c r="CL81" t="str">
        <f>""</f>
        <v/>
      </c>
      <c r="CM81" t="str">
        <f>""</f>
        <v/>
      </c>
      <c r="CN81" t="str">
        <f>""</f>
        <v/>
      </c>
      <c r="CO81" t="str">
        <f>""</f>
        <v/>
      </c>
      <c r="CP81" t="str">
        <f>""</f>
        <v/>
      </c>
      <c r="CQ81" t="str">
        <f>""</f>
        <v/>
      </c>
      <c r="CR81" t="str">
        <f>""</f>
        <v/>
      </c>
      <c r="CS81" t="str">
        <f>""</f>
        <v/>
      </c>
      <c r="CT81" t="str">
        <f>""</f>
        <v/>
      </c>
      <c r="CU81" t="str">
        <f>""</f>
        <v/>
      </c>
      <c r="CV81" t="str">
        <f>""</f>
        <v/>
      </c>
      <c r="CW81" t="str">
        <f>""</f>
        <v/>
      </c>
      <c r="CX81" t="str">
        <f>""</f>
        <v/>
      </c>
      <c r="CY81" t="str">
        <f>""</f>
        <v/>
      </c>
      <c r="CZ81" t="str">
        <f>""</f>
        <v/>
      </c>
      <c r="DA81" t="str">
        <f>""</f>
        <v/>
      </c>
      <c r="DB81" t="str">
        <f>""</f>
        <v/>
      </c>
      <c r="DC81" t="str">
        <f>""</f>
        <v/>
      </c>
      <c r="DD81" t="str">
        <f>""</f>
        <v/>
      </c>
      <c r="DE81" t="str">
        <f>""</f>
        <v/>
      </c>
      <c r="DF81" t="str">
        <f>""</f>
        <v/>
      </c>
      <c r="DG81" t="str">
        <f>""</f>
        <v/>
      </c>
      <c r="DH81" t="str">
        <f>""</f>
        <v/>
      </c>
      <c r="DI81" t="str">
        <f>""</f>
        <v/>
      </c>
      <c r="DJ81" t="str">
        <f>""</f>
        <v/>
      </c>
      <c r="DK81" t="str">
        <f>""</f>
        <v/>
      </c>
      <c r="DL81" t="str">
        <f>""</f>
        <v/>
      </c>
      <c r="DM81" t="str">
        <f>""</f>
        <v/>
      </c>
      <c r="DN81" t="str">
        <f>""</f>
        <v/>
      </c>
      <c r="DO81" t="str">
        <f>""</f>
        <v/>
      </c>
      <c r="DP81" t="str">
        <f>""</f>
        <v/>
      </c>
      <c r="DQ81" t="str">
        <f>""</f>
        <v/>
      </c>
      <c r="DR81" t="str">
        <f>""</f>
        <v/>
      </c>
      <c r="DS81" t="str">
        <f>""</f>
        <v/>
      </c>
    </row>
    <row r="82" spans="1:123" x14ac:dyDescent="0.25">
      <c r="A82" t="str">
        <f>$A$31</f>
        <v xml:space="preserve">        North America</v>
      </c>
      <c r="B82" t="str">
        <f>$B$31</f>
        <v>7270 JP Equity</v>
      </c>
      <c r="C82" t="str">
        <f>$C$31</f>
        <v>BI047</v>
      </c>
      <c r="D82" t="str">
        <f>$D$31</f>
        <v>BICS_SEGMENT_DATA</v>
      </c>
      <c r="E82" t="str">
        <f>$E$31</f>
        <v>Dynamic</v>
      </c>
      <c r="F82" t="str">
        <f ca="1">_xll.BDH($B$31,$C$31,$B$51,$B$52,CONCATENATE("Per=",$B$49),"Dts=H","Dir=H",CONCATENATE("Points=",$B$50),"Sort=R","Days=A","Fill=B","DZ666=001","X0001=NA00","DZ667=1","DS276=Y",CONCATENATE("FX=", $B$48) )</f>
        <v>#N/A Connection</v>
      </c>
      <c r="BM82" t="str">
        <f>""</f>
        <v/>
      </c>
      <c r="BN82" t="str">
        <f>""</f>
        <v/>
      </c>
      <c r="BO82" t="str">
        <f>""</f>
        <v/>
      </c>
      <c r="BP82" t="str">
        <f>""</f>
        <v/>
      </c>
      <c r="BQ82" t="str">
        <f>""</f>
        <v/>
      </c>
      <c r="BR82" t="str">
        <f>""</f>
        <v/>
      </c>
      <c r="BS82" t="str">
        <f>""</f>
        <v/>
      </c>
      <c r="BT82" t="str">
        <f>""</f>
        <v/>
      </c>
      <c r="BU82" t="str">
        <f>""</f>
        <v/>
      </c>
      <c r="BV82" t="str">
        <f>""</f>
        <v/>
      </c>
      <c r="BW82" t="str">
        <f>""</f>
        <v/>
      </c>
      <c r="BX82" t="str">
        <f>""</f>
        <v/>
      </c>
      <c r="BY82" t="str">
        <f>""</f>
        <v/>
      </c>
      <c r="BZ82" t="str">
        <f>""</f>
        <v/>
      </c>
      <c r="CA82" t="str">
        <f>""</f>
        <v/>
      </c>
      <c r="CB82" t="str">
        <f>""</f>
        <v/>
      </c>
      <c r="CC82" t="str">
        <f>""</f>
        <v/>
      </c>
      <c r="CD82" t="str">
        <f>""</f>
        <v/>
      </c>
      <c r="CE82" t="str">
        <f>""</f>
        <v/>
      </c>
      <c r="CF82" t="str">
        <f>""</f>
        <v/>
      </c>
      <c r="CG82" t="str">
        <f>""</f>
        <v/>
      </c>
      <c r="CH82" t="str">
        <f>""</f>
        <v/>
      </c>
      <c r="CI82" t="str">
        <f>""</f>
        <v/>
      </c>
      <c r="CJ82" t="str">
        <f>""</f>
        <v/>
      </c>
      <c r="CK82" t="str">
        <f>""</f>
        <v/>
      </c>
      <c r="CL82" t="str">
        <f>""</f>
        <v/>
      </c>
      <c r="CM82" t="str">
        <f>""</f>
        <v/>
      </c>
      <c r="CN82" t="str">
        <f>""</f>
        <v/>
      </c>
      <c r="CO82" t="str">
        <f>""</f>
        <v/>
      </c>
      <c r="CP82" t="str">
        <f>""</f>
        <v/>
      </c>
      <c r="CQ82" t="str">
        <f>""</f>
        <v/>
      </c>
      <c r="CR82" t="str">
        <f>""</f>
        <v/>
      </c>
      <c r="CS82" t="str">
        <f>""</f>
        <v/>
      </c>
      <c r="CT82" t="str">
        <f>""</f>
        <v/>
      </c>
      <c r="CU82" t="str">
        <f>""</f>
        <v/>
      </c>
      <c r="CV82" t="str">
        <f>""</f>
        <v/>
      </c>
      <c r="CW82" t="str">
        <f>""</f>
        <v/>
      </c>
      <c r="CX82" t="str">
        <f>""</f>
        <v/>
      </c>
      <c r="CY82" t="str">
        <f>""</f>
        <v/>
      </c>
      <c r="CZ82" t="str">
        <f>""</f>
        <v/>
      </c>
      <c r="DA82" t="str">
        <f>""</f>
        <v/>
      </c>
      <c r="DB82" t="str">
        <f>""</f>
        <v/>
      </c>
      <c r="DC82" t="str">
        <f>""</f>
        <v/>
      </c>
      <c r="DD82" t="str">
        <f>""</f>
        <v/>
      </c>
      <c r="DE82" t="str">
        <f>""</f>
        <v/>
      </c>
      <c r="DF82" t="str">
        <f>""</f>
        <v/>
      </c>
      <c r="DG82" t="str">
        <f>""</f>
        <v/>
      </c>
      <c r="DH82" t="str">
        <f>""</f>
        <v/>
      </c>
      <c r="DI82" t="str">
        <f>""</f>
        <v/>
      </c>
      <c r="DJ82" t="str">
        <f>""</f>
        <v/>
      </c>
      <c r="DK82" t="str">
        <f>""</f>
        <v/>
      </c>
      <c r="DL82" t="str">
        <f>""</f>
        <v/>
      </c>
      <c r="DM82" t="str">
        <f>""</f>
        <v/>
      </c>
      <c r="DN82" t="str">
        <f>""</f>
        <v/>
      </c>
      <c r="DO82" t="str">
        <f>""</f>
        <v/>
      </c>
      <c r="DP82" t="str">
        <f>""</f>
        <v/>
      </c>
      <c r="DQ82" t="str">
        <f>""</f>
        <v/>
      </c>
      <c r="DR82" t="str">
        <f>""</f>
        <v/>
      </c>
      <c r="DS82" t="str">
        <f>""</f>
        <v/>
      </c>
    </row>
    <row r="83" spans="1:123" x14ac:dyDescent="0.25">
      <c r="A83" t="str">
        <f>$A$32</f>
        <v>By Geography ($M) - Mitsubishi</v>
      </c>
      <c r="B83" t="str">
        <f>$B$32</f>
        <v>7211 JP Equity</v>
      </c>
      <c r="C83" t="str">
        <f>$C$32</f>
        <v>IS010</v>
      </c>
      <c r="D83" t="str">
        <f>$D$32</f>
        <v>SALES_REV_TURN</v>
      </c>
      <c r="E83" t="str">
        <f>$E$32</f>
        <v>Dynamic</v>
      </c>
      <c r="F83" t="str">
        <f ca="1">_xll.BDH($B$32,$C$32,$B$51,$B$52,CONCATENATE("Per=",$B$49),"Dts=H","Dir=H",CONCATENATE("Points=",$B$50),"Sort=R","Days=A","Fill=B",CONCATENATE("FX=", $B$48) )</f>
        <v>#N/A Connection</v>
      </c>
      <c r="BM83" t="str">
        <f>""</f>
        <v/>
      </c>
      <c r="BN83" t="str">
        <f>""</f>
        <v/>
      </c>
      <c r="BO83" t="str">
        <f>""</f>
        <v/>
      </c>
      <c r="BP83" t="str">
        <f>""</f>
        <v/>
      </c>
      <c r="BQ83" t="str">
        <f>""</f>
        <v/>
      </c>
      <c r="BR83" t="str">
        <f>""</f>
        <v/>
      </c>
      <c r="BS83" t="str">
        <f>""</f>
        <v/>
      </c>
      <c r="BT83" t="str">
        <f>""</f>
        <v/>
      </c>
      <c r="BU83" t="str">
        <f>""</f>
        <v/>
      </c>
      <c r="BV83" t="str">
        <f>""</f>
        <v/>
      </c>
      <c r="BW83" t="str">
        <f>""</f>
        <v/>
      </c>
      <c r="BX83" t="str">
        <f>""</f>
        <v/>
      </c>
      <c r="BY83" t="str">
        <f>""</f>
        <v/>
      </c>
      <c r="BZ83" t="str">
        <f>""</f>
        <v/>
      </c>
      <c r="CA83" t="str">
        <f>""</f>
        <v/>
      </c>
      <c r="CB83" t="str">
        <f>""</f>
        <v/>
      </c>
      <c r="CC83" t="str">
        <f>""</f>
        <v/>
      </c>
      <c r="CD83" t="str">
        <f>""</f>
        <v/>
      </c>
      <c r="CE83" t="str">
        <f>""</f>
        <v/>
      </c>
      <c r="CF83" t="str">
        <f>""</f>
        <v/>
      </c>
      <c r="CG83" t="str">
        <f>""</f>
        <v/>
      </c>
      <c r="CH83" t="str">
        <f>""</f>
        <v/>
      </c>
      <c r="CI83" t="str">
        <f>""</f>
        <v/>
      </c>
      <c r="CJ83" t="str">
        <f>""</f>
        <v/>
      </c>
      <c r="CK83" t="str">
        <f>""</f>
        <v/>
      </c>
      <c r="CL83" t="str">
        <f>""</f>
        <v/>
      </c>
      <c r="CM83" t="str">
        <f>""</f>
        <v/>
      </c>
      <c r="CN83" t="str">
        <f>""</f>
        <v/>
      </c>
      <c r="CO83" t="str">
        <f>""</f>
        <v/>
      </c>
      <c r="CP83" t="str">
        <f>""</f>
        <v/>
      </c>
      <c r="CQ83" t="str">
        <f>""</f>
        <v/>
      </c>
      <c r="CR83" t="str">
        <f>""</f>
        <v/>
      </c>
      <c r="CS83" t="str">
        <f>""</f>
        <v/>
      </c>
      <c r="CT83" t="str">
        <f>""</f>
        <v/>
      </c>
      <c r="CU83" t="str">
        <f>""</f>
        <v/>
      </c>
      <c r="CV83" t="str">
        <f>""</f>
        <v/>
      </c>
      <c r="CW83" t="str">
        <f>""</f>
        <v/>
      </c>
      <c r="CX83" t="str">
        <f>""</f>
        <v/>
      </c>
      <c r="CY83" t="str">
        <f>""</f>
        <v/>
      </c>
      <c r="CZ83" t="str">
        <f>""</f>
        <v/>
      </c>
      <c r="DA83" t="str">
        <f>""</f>
        <v/>
      </c>
      <c r="DB83" t="str">
        <f>""</f>
        <v/>
      </c>
      <c r="DC83" t="str">
        <f>""</f>
        <v/>
      </c>
      <c r="DD83" t="str">
        <f>""</f>
        <v/>
      </c>
      <c r="DE83" t="str">
        <f>""</f>
        <v/>
      </c>
      <c r="DF83" t="str">
        <f>""</f>
        <v/>
      </c>
      <c r="DG83" t="str">
        <f>""</f>
        <v/>
      </c>
      <c r="DH83" t="str">
        <f>""</f>
        <v/>
      </c>
      <c r="DI83" t="str">
        <f>""</f>
        <v/>
      </c>
      <c r="DJ83" t="str">
        <f>""</f>
        <v/>
      </c>
      <c r="DK83" t="str">
        <f>""</f>
        <v/>
      </c>
      <c r="DL83" t="str">
        <f>""</f>
        <v/>
      </c>
      <c r="DM83" t="str">
        <f>""</f>
        <v/>
      </c>
      <c r="DN83" t="str">
        <f>""</f>
        <v/>
      </c>
      <c r="DO83" t="str">
        <f>""</f>
        <v/>
      </c>
      <c r="DP83" t="str">
        <f>""</f>
        <v/>
      </c>
      <c r="DQ83" t="str">
        <f>""</f>
        <v/>
      </c>
      <c r="DR83" t="str">
        <f>""</f>
        <v/>
      </c>
      <c r="DS83" t="str">
        <f>""</f>
        <v/>
      </c>
    </row>
    <row r="84" spans="1:123" x14ac:dyDescent="0.25">
      <c r="A84" t="str">
        <f>$A$33</f>
        <v xml:space="preserve">        North America</v>
      </c>
      <c r="B84" t="str">
        <f>$B$33</f>
        <v>7211 JP Equity</v>
      </c>
      <c r="C84" t="str">
        <f>$C$33</f>
        <v>BI047</v>
      </c>
      <c r="D84" t="str">
        <f>$D$33</f>
        <v>BICS_SEGMENT_DATA</v>
      </c>
      <c r="E84" t="str">
        <f>$E$33</f>
        <v>Dynamic</v>
      </c>
      <c r="F84" t="str">
        <f ca="1">_xll.BDH($B$33,$C$33,$B$51,$B$52,CONCATENATE("Per=",$B$49),"Dts=H","Dir=H",CONCATENATE("Points=",$B$50),"Sort=R","Days=A","Fill=B","DZ666=001","X0001=NA00","DZ667=1","DS276=Y",CONCATENATE("FX=", $B$48) )</f>
        <v>#N/A Connection</v>
      </c>
      <c r="BM84" t="str">
        <f>""</f>
        <v/>
      </c>
      <c r="BN84" t="str">
        <f>""</f>
        <v/>
      </c>
      <c r="BO84" t="str">
        <f>""</f>
        <v/>
      </c>
      <c r="BP84" t="str">
        <f>""</f>
        <v/>
      </c>
      <c r="BQ84" t="str">
        <f>""</f>
        <v/>
      </c>
      <c r="BR84" t="str">
        <f>""</f>
        <v/>
      </c>
      <c r="BS84" t="str">
        <f>""</f>
        <v/>
      </c>
      <c r="BT84" t="str">
        <f>""</f>
        <v/>
      </c>
      <c r="BU84" t="str">
        <f>""</f>
        <v/>
      </c>
      <c r="BV84" t="str">
        <f>""</f>
        <v/>
      </c>
      <c r="BW84" t="str">
        <f>""</f>
        <v/>
      </c>
      <c r="BX84" t="str">
        <f>""</f>
        <v/>
      </c>
      <c r="BY84" t="str">
        <f>""</f>
        <v/>
      </c>
      <c r="BZ84" t="str">
        <f>""</f>
        <v/>
      </c>
      <c r="CA84" t="str">
        <f>""</f>
        <v/>
      </c>
      <c r="CB84" t="str">
        <f>""</f>
        <v/>
      </c>
      <c r="CC84" t="str">
        <f>""</f>
        <v/>
      </c>
      <c r="CD84" t="str">
        <f>""</f>
        <v/>
      </c>
      <c r="CE84" t="str">
        <f>""</f>
        <v/>
      </c>
      <c r="CF84" t="str">
        <f>""</f>
        <v/>
      </c>
      <c r="CG84" t="str">
        <f>""</f>
        <v/>
      </c>
      <c r="CH84" t="str">
        <f>""</f>
        <v/>
      </c>
      <c r="CI84" t="str">
        <f>""</f>
        <v/>
      </c>
      <c r="CJ84" t="str">
        <f>""</f>
        <v/>
      </c>
      <c r="CK84" t="str">
        <f>""</f>
        <v/>
      </c>
      <c r="CL84" t="str">
        <f>""</f>
        <v/>
      </c>
      <c r="CM84" t="str">
        <f>""</f>
        <v/>
      </c>
      <c r="CN84" t="str">
        <f>""</f>
        <v/>
      </c>
      <c r="CO84" t="str">
        <f>""</f>
        <v/>
      </c>
      <c r="CP84" t="str">
        <f>""</f>
        <v/>
      </c>
      <c r="CQ84" t="str">
        <f>""</f>
        <v/>
      </c>
      <c r="CR84" t="str">
        <f>""</f>
        <v/>
      </c>
      <c r="CS84" t="str">
        <f>""</f>
        <v/>
      </c>
      <c r="CT84" t="str">
        <f>""</f>
        <v/>
      </c>
      <c r="CU84" t="str">
        <f>""</f>
        <v/>
      </c>
      <c r="CV84" t="str">
        <f>""</f>
        <v/>
      </c>
      <c r="CW84" t="str">
        <f>""</f>
        <v/>
      </c>
      <c r="CX84" t="str">
        <f>""</f>
        <v/>
      </c>
      <c r="CY84" t="str">
        <f>""</f>
        <v/>
      </c>
      <c r="CZ84" t="str">
        <f>""</f>
        <v/>
      </c>
      <c r="DA84" t="str">
        <f>""</f>
        <v/>
      </c>
      <c r="DB84" t="str">
        <f>""</f>
        <v/>
      </c>
      <c r="DC84" t="str">
        <f>""</f>
        <v/>
      </c>
      <c r="DD84" t="str">
        <f>""</f>
        <v/>
      </c>
      <c r="DE84" t="str">
        <f>""</f>
        <v/>
      </c>
      <c r="DF84" t="str">
        <f>""</f>
        <v/>
      </c>
      <c r="DG84" t="str">
        <f>""</f>
        <v/>
      </c>
      <c r="DH84" t="str">
        <f>""</f>
        <v/>
      </c>
      <c r="DI84" t="str">
        <f>""</f>
        <v/>
      </c>
      <c r="DJ84" t="str">
        <f>""</f>
        <v/>
      </c>
      <c r="DK84" t="str">
        <f>""</f>
        <v/>
      </c>
      <c r="DL84" t="str">
        <f>""</f>
        <v/>
      </c>
      <c r="DM84" t="str">
        <f>""</f>
        <v/>
      </c>
      <c r="DN84" t="str">
        <f>""</f>
        <v/>
      </c>
      <c r="DO84" t="str">
        <f>""</f>
        <v/>
      </c>
      <c r="DP84" t="str">
        <f>""</f>
        <v/>
      </c>
      <c r="DQ84" t="str">
        <f>""</f>
        <v/>
      </c>
      <c r="DR84" t="str">
        <f>""</f>
        <v/>
      </c>
      <c r="DS84" t="str">
        <f>""</f>
        <v/>
      </c>
    </row>
    <row r="85" spans="1:123" x14ac:dyDescent="0.25">
      <c r="A85" t="str">
        <f>$A$34</f>
        <v>By Geography ($M) - Isuzu</v>
      </c>
      <c r="B85" t="str">
        <f>$B$34</f>
        <v>7202 JP Equity</v>
      </c>
      <c r="C85" t="str">
        <f>$C$34</f>
        <v>IS010</v>
      </c>
      <c r="D85" t="str">
        <f>$D$34</f>
        <v>SALES_REV_TURN</v>
      </c>
      <c r="E85" t="str">
        <f>$E$34</f>
        <v>Dynamic</v>
      </c>
      <c r="F85" t="str">
        <f ca="1">_xll.BDH($B$34,$C$34,$B$51,$B$52,CONCATENATE("Per=",$B$49),"Dts=H","Dir=H",CONCATENATE("Points=",$B$50),"Sort=R","Days=A","Fill=B",CONCATENATE("FX=", $B$48) )</f>
        <v>#N/A Connection</v>
      </c>
      <c r="BM85" t="str">
        <f>""</f>
        <v/>
      </c>
      <c r="BN85" t="str">
        <f>""</f>
        <v/>
      </c>
      <c r="BO85" t="str">
        <f>""</f>
        <v/>
      </c>
      <c r="BP85" t="str">
        <f>""</f>
        <v/>
      </c>
      <c r="BQ85" t="str">
        <f>""</f>
        <v/>
      </c>
      <c r="BR85" t="str">
        <f>""</f>
        <v/>
      </c>
      <c r="BS85" t="str">
        <f>""</f>
        <v/>
      </c>
      <c r="BT85" t="str">
        <f>""</f>
        <v/>
      </c>
      <c r="BU85" t="str">
        <f>""</f>
        <v/>
      </c>
      <c r="BV85" t="str">
        <f>""</f>
        <v/>
      </c>
      <c r="BW85" t="str">
        <f>""</f>
        <v/>
      </c>
      <c r="BX85" t="str">
        <f>""</f>
        <v/>
      </c>
      <c r="BY85" t="str">
        <f>""</f>
        <v/>
      </c>
      <c r="BZ85" t="str">
        <f>""</f>
        <v/>
      </c>
      <c r="CA85" t="str">
        <f>""</f>
        <v/>
      </c>
      <c r="CB85" t="str">
        <f>""</f>
        <v/>
      </c>
      <c r="CC85" t="str">
        <f>""</f>
        <v/>
      </c>
      <c r="CD85" t="str">
        <f>""</f>
        <v/>
      </c>
      <c r="CE85" t="str">
        <f>""</f>
        <v/>
      </c>
      <c r="CF85" t="str">
        <f>""</f>
        <v/>
      </c>
      <c r="CG85" t="str">
        <f>""</f>
        <v/>
      </c>
      <c r="CH85" t="str">
        <f>""</f>
        <v/>
      </c>
      <c r="CI85" t="str">
        <f>""</f>
        <v/>
      </c>
      <c r="CJ85" t="str">
        <f>""</f>
        <v/>
      </c>
      <c r="CK85" t="str">
        <f>""</f>
        <v/>
      </c>
      <c r="CL85" t="str">
        <f>""</f>
        <v/>
      </c>
      <c r="CM85" t="str">
        <f>""</f>
        <v/>
      </c>
      <c r="CN85" t="str">
        <f>""</f>
        <v/>
      </c>
      <c r="CO85" t="str">
        <f>""</f>
        <v/>
      </c>
      <c r="CP85" t="str">
        <f>""</f>
        <v/>
      </c>
      <c r="CQ85" t="str">
        <f>""</f>
        <v/>
      </c>
      <c r="CR85" t="str">
        <f>""</f>
        <v/>
      </c>
      <c r="CS85" t="str">
        <f>""</f>
        <v/>
      </c>
      <c r="CT85" t="str">
        <f>""</f>
        <v/>
      </c>
      <c r="CU85" t="str">
        <f>""</f>
        <v/>
      </c>
      <c r="CV85" t="str">
        <f>""</f>
        <v/>
      </c>
      <c r="CW85" t="str">
        <f>""</f>
        <v/>
      </c>
      <c r="CX85" t="str">
        <f>""</f>
        <v/>
      </c>
      <c r="CY85" t="str">
        <f>""</f>
        <v/>
      </c>
      <c r="CZ85" t="str">
        <f>""</f>
        <v/>
      </c>
      <c r="DA85" t="str">
        <f>""</f>
        <v/>
      </c>
      <c r="DB85" t="str">
        <f>""</f>
        <v/>
      </c>
      <c r="DC85" t="str">
        <f>""</f>
        <v/>
      </c>
      <c r="DD85" t="str">
        <f>""</f>
        <v/>
      </c>
      <c r="DE85" t="str">
        <f>""</f>
        <v/>
      </c>
      <c r="DF85" t="str">
        <f>""</f>
        <v/>
      </c>
      <c r="DG85" t="str">
        <f>""</f>
        <v/>
      </c>
      <c r="DH85" t="str">
        <f>""</f>
        <v/>
      </c>
      <c r="DI85" t="str">
        <f>""</f>
        <v/>
      </c>
      <c r="DJ85" t="str">
        <f>""</f>
        <v/>
      </c>
      <c r="DK85" t="str">
        <f>""</f>
        <v/>
      </c>
      <c r="DL85" t="str">
        <f>""</f>
        <v/>
      </c>
      <c r="DM85" t="str">
        <f>""</f>
        <v/>
      </c>
      <c r="DN85" t="str">
        <f>""</f>
        <v/>
      </c>
      <c r="DO85" t="str">
        <f>""</f>
        <v/>
      </c>
      <c r="DP85" t="str">
        <f>""</f>
        <v/>
      </c>
      <c r="DQ85" t="str">
        <f>""</f>
        <v/>
      </c>
      <c r="DR85" t="str">
        <f>""</f>
        <v/>
      </c>
      <c r="DS85" t="str">
        <f>""</f>
        <v/>
      </c>
    </row>
    <row r="86" spans="1:123" x14ac:dyDescent="0.25">
      <c r="A86" t="str">
        <f>$A$35</f>
        <v xml:space="preserve">        North America - U.S.</v>
      </c>
      <c r="B86" t="str">
        <f>$B$35</f>
        <v>7202 JP Equity</v>
      </c>
      <c r="C86" t="str">
        <f>$C$35</f>
        <v>BI047</v>
      </c>
      <c r="D86" t="str">
        <f>$D$35</f>
        <v>BICS_SEGMENT_DATA</v>
      </c>
      <c r="E86" t="str">
        <f>$E$35</f>
        <v>Dynamic</v>
      </c>
      <c r="F86" t="str">
        <f ca="1">_xll.BDH($B$35,$C$35,$B$51,$B$52,CONCATENATE("Per=",$B$49),"Dts=H","Dir=H",CONCATENATE("Points=",$B$50),"Sort=R","Days=A","Fill=B","DZ666=001","X0001=NAUS","DZ667=1","DS276=Y",CONCATENATE("FX=", $B$48) )</f>
        <v>#N/A Connection</v>
      </c>
      <c r="BM86" t="str">
        <f>""</f>
        <v/>
      </c>
      <c r="BN86" t="str">
        <f>""</f>
        <v/>
      </c>
      <c r="BO86" t="str">
        <f>""</f>
        <v/>
      </c>
      <c r="BP86" t="str">
        <f>""</f>
        <v/>
      </c>
      <c r="BQ86" t="str">
        <f>""</f>
        <v/>
      </c>
      <c r="BR86" t="str">
        <f>""</f>
        <v/>
      </c>
      <c r="BS86" t="str">
        <f>""</f>
        <v/>
      </c>
      <c r="BT86" t="str">
        <f>""</f>
        <v/>
      </c>
      <c r="BU86" t="str">
        <f>""</f>
        <v/>
      </c>
      <c r="BV86" t="str">
        <f>""</f>
        <v/>
      </c>
      <c r="BW86" t="str">
        <f>""</f>
        <v/>
      </c>
      <c r="BX86" t="str">
        <f>""</f>
        <v/>
      </c>
      <c r="BY86" t="str">
        <f>""</f>
        <v/>
      </c>
      <c r="BZ86" t="str">
        <f>""</f>
        <v/>
      </c>
      <c r="CA86" t="str">
        <f>""</f>
        <v/>
      </c>
      <c r="CB86" t="str">
        <f>""</f>
        <v/>
      </c>
      <c r="CC86" t="str">
        <f>""</f>
        <v/>
      </c>
      <c r="CD86" t="str">
        <f>""</f>
        <v/>
      </c>
      <c r="CE86" t="str">
        <f>""</f>
        <v/>
      </c>
      <c r="CF86" t="str">
        <f>""</f>
        <v/>
      </c>
      <c r="CG86" t="str">
        <f>""</f>
        <v/>
      </c>
      <c r="CH86" t="str">
        <f>""</f>
        <v/>
      </c>
      <c r="CI86" t="str">
        <f>""</f>
        <v/>
      </c>
      <c r="CJ86" t="str">
        <f>""</f>
        <v/>
      </c>
      <c r="CK86" t="str">
        <f>""</f>
        <v/>
      </c>
      <c r="CL86" t="str">
        <f>""</f>
        <v/>
      </c>
      <c r="CM86" t="str">
        <f>""</f>
        <v/>
      </c>
      <c r="CN86" t="str">
        <f>""</f>
        <v/>
      </c>
      <c r="CO86" t="str">
        <f>""</f>
        <v/>
      </c>
      <c r="CP86" t="str">
        <f>""</f>
        <v/>
      </c>
      <c r="CQ86" t="str">
        <f>""</f>
        <v/>
      </c>
      <c r="CR86" t="str">
        <f>""</f>
        <v/>
      </c>
      <c r="CS86" t="str">
        <f>""</f>
        <v/>
      </c>
      <c r="CT86" t="str">
        <f>""</f>
        <v/>
      </c>
      <c r="CU86" t="str">
        <f>""</f>
        <v/>
      </c>
      <c r="CV86" t="str">
        <f>""</f>
        <v/>
      </c>
      <c r="CW86" t="str">
        <f>""</f>
        <v/>
      </c>
      <c r="CX86" t="str">
        <f>""</f>
        <v/>
      </c>
      <c r="CY86" t="str">
        <f>""</f>
        <v/>
      </c>
      <c r="CZ86" t="str">
        <f>""</f>
        <v/>
      </c>
      <c r="DA86" t="str">
        <f>""</f>
        <v/>
      </c>
      <c r="DB86" t="str">
        <f>""</f>
        <v/>
      </c>
      <c r="DC86" t="str">
        <f>""</f>
        <v/>
      </c>
      <c r="DD86" t="str">
        <f>""</f>
        <v/>
      </c>
      <c r="DE86" t="str">
        <f>""</f>
        <v/>
      </c>
      <c r="DF86" t="str">
        <f>""</f>
        <v/>
      </c>
      <c r="DG86" t="str">
        <f>""</f>
        <v/>
      </c>
      <c r="DH86" t="str">
        <f>""</f>
        <v/>
      </c>
      <c r="DI86" t="str">
        <f>""</f>
        <v/>
      </c>
      <c r="DJ86" t="str">
        <f>""</f>
        <v/>
      </c>
      <c r="DK86" t="str">
        <f>""</f>
        <v/>
      </c>
      <c r="DL86" t="str">
        <f>""</f>
        <v/>
      </c>
      <c r="DM86" t="str">
        <f>""</f>
        <v/>
      </c>
      <c r="DN86" t="str">
        <f>""</f>
        <v/>
      </c>
      <c r="DO86" t="str">
        <f>""</f>
        <v/>
      </c>
      <c r="DP86" t="str">
        <f>""</f>
        <v/>
      </c>
      <c r="DQ86" t="str">
        <f>""</f>
        <v/>
      </c>
      <c r="DR86" t="str">
        <f>""</f>
        <v/>
      </c>
      <c r="DS86" t="str">
        <f>""</f>
        <v/>
      </c>
    </row>
    <row r="87" spans="1:123" x14ac:dyDescent="0.25">
      <c r="A87" t="str">
        <f>$A$36</f>
        <v>By Geography ($M) - Tesla</v>
      </c>
      <c r="B87" t="str">
        <f>$B$36</f>
        <v>TSLA US Equity</v>
      </c>
      <c r="C87" t="str">
        <f>$C$36</f>
        <v>IS010</v>
      </c>
      <c r="D87" t="str">
        <f>$D$36</f>
        <v>SALES_REV_TURN</v>
      </c>
      <c r="E87" t="str">
        <f>$E$36</f>
        <v>Dynamic</v>
      </c>
      <c r="F87" t="str">
        <f ca="1">_xll.BDH($B$36,$C$36,$B$51,$B$52,CONCATENATE("Per=",$B$49),"Dts=H","Dir=H",CONCATENATE("Points=",$B$50),"Sort=R","Days=A","Fill=B",CONCATENATE("FX=", $B$48) )</f>
        <v>#N/A Connection</v>
      </c>
      <c r="BM87" t="str">
        <f>""</f>
        <v/>
      </c>
      <c r="BN87" t="str">
        <f>""</f>
        <v/>
      </c>
      <c r="BO87" t="str">
        <f>""</f>
        <v/>
      </c>
      <c r="BP87" t="str">
        <f>""</f>
        <v/>
      </c>
      <c r="BQ87" t="str">
        <f>""</f>
        <v/>
      </c>
      <c r="BR87" t="str">
        <f>""</f>
        <v/>
      </c>
      <c r="BS87" t="str">
        <f>""</f>
        <v/>
      </c>
      <c r="BT87" t="str">
        <f>""</f>
        <v/>
      </c>
      <c r="BU87" t="str">
        <f>""</f>
        <v/>
      </c>
      <c r="BV87" t="str">
        <f>""</f>
        <v/>
      </c>
      <c r="BW87" t="str">
        <f>""</f>
        <v/>
      </c>
      <c r="BX87" t="str">
        <f>""</f>
        <v/>
      </c>
      <c r="BY87" t="str">
        <f>""</f>
        <v/>
      </c>
      <c r="BZ87" t="str">
        <f>""</f>
        <v/>
      </c>
      <c r="CA87" t="str">
        <f>""</f>
        <v/>
      </c>
      <c r="CB87" t="str">
        <f>""</f>
        <v/>
      </c>
      <c r="CC87" t="str">
        <f>""</f>
        <v/>
      </c>
      <c r="CD87" t="str">
        <f>""</f>
        <v/>
      </c>
      <c r="CE87" t="str">
        <f>""</f>
        <v/>
      </c>
      <c r="CF87" t="str">
        <f>""</f>
        <v/>
      </c>
      <c r="CG87" t="str">
        <f>""</f>
        <v/>
      </c>
      <c r="CH87" t="str">
        <f>""</f>
        <v/>
      </c>
      <c r="CI87" t="str">
        <f>""</f>
        <v/>
      </c>
      <c r="CJ87" t="str">
        <f>""</f>
        <v/>
      </c>
      <c r="CK87" t="str">
        <f>""</f>
        <v/>
      </c>
      <c r="CL87" t="str">
        <f>""</f>
        <v/>
      </c>
      <c r="CM87" t="str">
        <f>""</f>
        <v/>
      </c>
      <c r="CN87" t="str">
        <f>""</f>
        <v/>
      </c>
      <c r="CO87" t="str">
        <f>""</f>
        <v/>
      </c>
      <c r="CP87" t="str">
        <f>""</f>
        <v/>
      </c>
      <c r="CQ87" t="str">
        <f>""</f>
        <v/>
      </c>
      <c r="CR87" t="str">
        <f>""</f>
        <v/>
      </c>
      <c r="CS87" t="str">
        <f>""</f>
        <v/>
      </c>
      <c r="CT87" t="str">
        <f>""</f>
        <v/>
      </c>
      <c r="CU87" t="str">
        <f>""</f>
        <v/>
      </c>
      <c r="CV87" t="str">
        <f>""</f>
        <v/>
      </c>
      <c r="CW87" t="str">
        <f>""</f>
        <v/>
      </c>
      <c r="CX87" t="str">
        <f>""</f>
        <v/>
      </c>
      <c r="CY87" t="str">
        <f>""</f>
        <v/>
      </c>
      <c r="CZ87" t="str">
        <f>""</f>
        <v/>
      </c>
      <c r="DA87" t="str">
        <f>""</f>
        <v/>
      </c>
      <c r="DB87" t="str">
        <f>""</f>
        <v/>
      </c>
      <c r="DC87" t="str">
        <f>""</f>
        <v/>
      </c>
      <c r="DD87" t="str">
        <f>""</f>
        <v/>
      </c>
      <c r="DE87" t="str">
        <f>""</f>
        <v/>
      </c>
      <c r="DF87" t="str">
        <f>""</f>
        <v/>
      </c>
      <c r="DG87" t="str">
        <f>""</f>
        <v/>
      </c>
      <c r="DH87" t="str">
        <f>""</f>
        <v/>
      </c>
      <c r="DI87" t="str">
        <f>""</f>
        <v/>
      </c>
      <c r="DJ87" t="str">
        <f>""</f>
        <v/>
      </c>
      <c r="DK87" t="str">
        <f>""</f>
        <v/>
      </c>
      <c r="DL87" t="str">
        <f>""</f>
        <v/>
      </c>
      <c r="DM87" t="str">
        <f>""</f>
        <v/>
      </c>
      <c r="DN87" t="str">
        <f>""</f>
        <v/>
      </c>
      <c r="DO87" t="str">
        <f>""</f>
        <v/>
      </c>
      <c r="DP87" t="str">
        <f>""</f>
        <v/>
      </c>
      <c r="DQ87" t="str">
        <f>""</f>
        <v/>
      </c>
      <c r="DR87" t="str">
        <f>""</f>
        <v/>
      </c>
      <c r="DS87" t="str">
        <f>""</f>
        <v/>
      </c>
    </row>
    <row r="88" spans="1:123" x14ac:dyDescent="0.25">
      <c r="A88" t="str">
        <f>$A$37</f>
        <v xml:space="preserve">        Americas</v>
      </c>
      <c r="B88" t="str">
        <f>$B$37</f>
        <v>TSLA US Equity</v>
      </c>
      <c r="C88" t="str">
        <f>$C$37</f>
        <v>BI047</v>
      </c>
      <c r="D88" t="str">
        <f>$D$37</f>
        <v>BICS_SEGMENT_DATA</v>
      </c>
      <c r="E88" t="str">
        <f>$E$37</f>
        <v>Dynamic</v>
      </c>
      <c r="F88" t="str">
        <f ca="1">_xll.BDH($B$37,$C$37,$B$51,$B$52,CONCATENATE("Per=",$B$49),"Dts=H","Dir=H",CONCATENATE("Points=",$B$50),"Sort=R","Days=A","Fill=B","DZ666=001","X0001=NA00","DZ667=1","DS276=Y",CONCATENATE("FX=", $B$48) )</f>
        <v>#N/A Connection</v>
      </c>
      <c r="BM88" t="str">
        <f>""</f>
        <v/>
      </c>
      <c r="BN88" t="str">
        <f>""</f>
        <v/>
      </c>
      <c r="BO88" t="str">
        <f>""</f>
        <v/>
      </c>
      <c r="BP88" t="str">
        <f>""</f>
        <v/>
      </c>
      <c r="BQ88" t="str">
        <f>""</f>
        <v/>
      </c>
      <c r="BR88" t="str">
        <f>""</f>
        <v/>
      </c>
      <c r="BS88" t="str">
        <f>""</f>
        <v/>
      </c>
      <c r="BT88" t="str">
        <f>""</f>
        <v/>
      </c>
      <c r="BU88" t="str">
        <f>""</f>
        <v/>
      </c>
      <c r="BV88" t="str">
        <f>""</f>
        <v/>
      </c>
      <c r="BW88" t="str">
        <f>""</f>
        <v/>
      </c>
      <c r="BX88" t="str">
        <f>""</f>
        <v/>
      </c>
      <c r="BY88" t="str">
        <f>""</f>
        <v/>
      </c>
      <c r="BZ88" t="str">
        <f>""</f>
        <v/>
      </c>
      <c r="CA88" t="str">
        <f>""</f>
        <v/>
      </c>
      <c r="CB88" t="str">
        <f>""</f>
        <v/>
      </c>
      <c r="CC88" t="str">
        <f>""</f>
        <v/>
      </c>
      <c r="CD88" t="str">
        <f>""</f>
        <v/>
      </c>
      <c r="CE88" t="str">
        <f>""</f>
        <v/>
      </c>
      <c r="CF88" t="str">
        <f>""</f>
        <v/>
      </c>
      <c r="CG88" t="str">
        <f>""</f>
        <v/>
      </c>
      <c r="CH88" t="str">
        <f>""</f>
        <v/>
      </c>
      <c r="CI88" t="str">
        <f>""</f>
        <v/>
      </c>
      <c r="CJ88" t="str">
        <f>""</f>
        <v/>
      </c>
      <c r="CK88" t="str">
        <f>""</f>
        <v/>
      </c>
      <c r="CL88" t="str">
        <f>""</f>
        <v/>
      </c>
      <c r="CM88" t="str">
        <f>""</f>
        <v/>
      </c>
      <c r="CN88" t="str">
        <f>""</f>
        <v/>
      </c>
      <c r="CO88" t="str">
        <f>""</f>
        <v/>
      </c>
      <c r="CP88" t="str">
        <f>""</f>
        <v/>
      </c>
      <c r="CQ88" t="str">
        <f>""</f>
        <v/>
      </c>
      <c r="CR88" t="str">
        <f>""</f>
        <v/>
      </c>
      <c r="CS88" t="str">
        <f>""</f>
        <v/>
      </c>
      <c r="CT88" t="str">
        <f>""</f>
        <v/>
      </c>
      <c r="CU88" t="str">
        <f>""</f>
        <v/>
      </c>
      <c r="CV88" t="str">
        <f>""</f>
        <v/>
      </c>
      <c r="CW88" t="str">
        <f>""</f>
        <v/>
      </c>
      <c r="CX88" t="str">
        <f>""</f>
        <v/>
      </c>
      <c r="CY88" t="str">
        <f>""</f>
        <v/>
      </c>
      <c r="CZ88" t="str">
        <f>""</f>
        <v/>
      </c>
      <c r="DA88" t="str">
        <f>""</f>
        <v/>
      </c>
      <c r="DB88" t="str">
        <f>""</f>
        <v/>
      </c>
      <c r="DC88" t="str">
        <f>""</f>
        <v/>
      </c>
      <c r="DD88" t="str">
        <f>""</f>
        <v/>
      </c>
      <c r="DE88" t="str">
        <f>""</f>
        <v/>
      </c>
      <c r="DF88" t="str">
        <f>""</f>
        <v/>
      </c>
      <c r="DG88" t="str">
        <f>""</f>
        <v/>
      </c>
      <c r="DH88" t="str">
        <f>""</f>
        <v/>
      </c>
      <c r="DI88" t="str">
        <f>""</f>
        <v/>
      </c>
      <c r="DJ88" t="str">
        <f>""</f>
        <v/>
      </c>
      <c r="DK88" t="str">
        <f>""</f>
        <v/>
      </c>
      <c r="DL88" t="str">
        <f>""</f>
        <v/>
      </c>
      <c r="DM88" t="str">
        <f>""</f>
        <v/>
      </c>
      <c r="DN88" t="str">
        <f>""</f>
        <v/>
      </c>
      <c r="DO88" t="str">
        <f>""</f>
        <v/>
      </c>
      <c r="DP88" t="str">
        <f>""</f>
        <v/>
      </c>
      <c r="DQ88" t="str">
        <f>""</f>
        <v/>
      </c>
      <c r="DR88" t="str">
        <f>""</f>
        <v/>
      </c>
      <c r="DS88" t="str">
        <f>""</f>
        <v/>
      </c>
    </row>
    <row r="89" spans="1:123" x14ac:dyDescent="0.25">
      <c r="A89" t="str">
        <f>""</f>
        <v/>
      </c>
      <c r="B89" t="str">
        <f>""</f>
        <v/>
      </c>
      <c r="C89" t="str">
        <f>""</f>
        <v/>
      </c>
      <c r="D89" t="str">
        <f>""</f>
        <v/>
      </c>
      <c r="E89" t="str">
        <f>""</f>
        <v/>
      </c>
      <c r="BM89" t="str">
        <f>""</f>
        <v/>
      </c>
      <c r="BN89" t="str">
        <f>""</f>
        <v/>
      </c>
      <c r="BO89" t="str">
        <f>""</f>
        <v/>
      </c>
      <c r="BP89" t="str">
        <f>""</f>
        <v/>
      </c>
      <c r="BQ89" t="str">
        <f>""</f>
        <v/>
      </c>
      <c r="BR89" t="str">
        <f>""</f>
        <v/>
      </c>
      <c r="BS89" t="str">
        <f>""</f>
        <v/>
      </c>
      <c r="BT89" t="str">
        <f>""</f>
        <v/>
      </c>
      <c r="BU89" t="str">
        <f>""</f>
        <v/>
      </c>
      <c r="BV89" t="str">
        <f>""</f>
        <v/>
      </c>
      <c r="BW89" t="str">
        <f>""</f>
        <v/>
      </c>
      <c r="BX89" t="str">
        <f>""</f>
        <v/>
      </c>
      <c r="BY89" t="str">
        <f>""</f>
        <v/>
      </c>
      <c r="BZ89" t="str">
        <f>""</f>
        <v/>
      </c>
      <c r="CA89" t="str">
        <f>""</f>
        <v/>
      </c>
      <c r="CB89" t="str">
        <f>""</f>
        <v/>
      </c>
      <c r="CC89" t="str">
        <f>""</f>
        <v/>
      </c>
      <c r="CD89" t="str">
        <f>""</f>
        <v/>
      </c>
      <c r="CE89" t="str">
        <f>""</f>
        <v/>
      </c>
      <c r="CF89" t="str">
        <f>""</f>
        <v/>
      </c>
      <c r="CG89" t="str">
        <f>""</f>
        <v/>
      </c>
      <c r="CH89" t="str">
        <f>""</f>
        <v/>
      </c>
      <c r="CI89" t="str">
        <f>""</f>
        <v/>
      </c>
      <c r="CJ89" t="str">
        <f>""</f>
        <v/>
      </c>
      <c r="CK89" t="str">
        <f>""</f>
        <v/>
      </c>
      <c r="CL89" t="str">
        <f>""</f>
        <v/>
      </c>
      <c r="CM89" t="str">
        <f>""</f>
        <v/>
      </c>
      <c r="CN89" t="str">
        <f>""</f>
        <v/>
      </c>
      <c r="CO89" t="str">
        <f>""</f>
        <v/>
      </c>
      <c r="CP89" t="str">
        <f>""</f>
        <v/>
      </c>
      <c r="CQ89" t="str">
        <f>""</f>
        <v/>
      </c>
      <c r="CR89" t="str">
        <f>""</f>
        <v/>
      </c>
      <c r="CS89" t="str">
        <f>""</f>
        <v/>
      </c>
      <c r="CT89" t="str">
        <f>""</f>
        <v/>
      </c>
      <c r="CU89" t="str">
        <f>""</f>
        <v/>
      </c>
      <c r="CV89" t="str">
        <f>""</f>
        <v/>
      </c>
      <c r="CW89" t="str">
        <f>""</f>
        <v/>
      </c>
      <c r="CX89" t="str">
        <f>""</f>
        <v/>
      </c>
      <c r="CY89" t="str">
        <f>""</f>
        <v/>
      </c>
      <c r="CZ89" t="str">
        <f>""</f>
        <v/>
      </c>
      <c r="DA89" t="str">
        <f>""</f>
        <v/>
      </c>
      <c r="DB89" t="str">
        <f>""</f>
        <v/>
      </c>
      <c r="DC89" t="str">
        <f>""</f>
        <v/>
      </c>
      <c r="DD89" t="str">
        <f>""</f>
        <v/>
      </c>
      <c r="DE89" t="str">
        <f>""</f>
        <v/>
      </c>
      <c r="DF89" t="str">
        <f>""</f>
        <v/>
      </c>
      <c r="DG89" t="str">
        <f>""</f>
        <v/>
      </c>
      <c r="DH89" t="str">
        <f>""</f>
        <v/>
      </c>
      <c r="DI89" t="str">
        <f>""</f>
        <v/>
      </c>
      <c r="DJ89" t="str">
        <f>""</f>
        <v/>
      </c>
      <c r="DK89" t="str">
        <f>""</f>
        <v/>
      </c>
      <c r="DL89" t="str">
        <f>""</f>
        <v/>
      </c>
      <c r="DM89" t="str">
        <f>""</f>
        <v/>
      </c>
      <c r="DN89" t="str">
        <f>""</f>
        <v/>
      </c>
      <c r="DO89" t="str">
        <f>""</f>
        <v/>
      </c>
      <c r="DP89" t="str">
        <f>""</f>
        <v/>
      </c>
      <c r="DQ89" t="str">
        <f>""</f>
        <v/>
      </c>
      <c r="DR89" t="str">
        <f>""</f>
        <v/>
      </c>
      <c r="DS89" t="str">
        <f>""</f>
        <v/>
      </c>
    </row>
    <row r="90" spans="1:123" x14ac:dyDescent="0.25">
      <c r="A90" t="str">
        <f>""</f>
        <v/>
      </c>
      <c r="B90" t="str">
        <f>""</f>
        <v/>
      </c>
      <c r="C90" t="str">
        <f>""</f>
        <v/>
      </c>
      <c r="D90" t="str">
        <f>""</f>
        <v/>
      </c>
      <c r="E90" t="str">
        <f>""</f>
        <v/>
      </c>
      <c r="BM90" t="str">
        <f>""</f>
        <v/>
      </c>
      <c r="BN90" t="str">
        <f>""</f>
        <v/>
      </c>
      <c r="BO90" t="str">
        <f>""</f>
        <v/>
      </c>
      <c r="BP90" t="str">
        <f>""</f>
        <v/>
      </c>
      <c r="BQ90" t="str">
        <f>""</f>
        <v/>
      </c>
      <c r="BR90" t="str">
        <f>""</f>
        <v/>
      </c>
      <c r="BS90" t="str">
        <f>""</f>
        <v/>
      </c>
      <c r="BT90" t="str">
        <f>""</f>
        <v/>
      </c>
      <c r="BU90" t="str">
        <f>""</f>
        <v/>
      </c>
      <c r="BV90" t="str">
        <f>""</f>
        <v/>
      </c>
      <c r="BW90" t="str">
        <f>""</f>
        <v/>
      </c>
      <c r="BX90" t="str">
        <f>""</f>
        <v/>
      </c>
      <c r="BY90" t="str">
        <f>""</f>
        <v/>
      </c>
      <c r="BZ90" t="str">
        <f>""</f>
        <v/>
      </c>
      <c r="CA90" t="str">
        <f>""</f>
        <v/>
      </c>
      <c r="CB90" t="str">
        <f>""</f>
        <v/>
      </c>
      <c r="CC90" t="str">
        <f>""</f>
        <v/>
      </c>
      <c r="CD90" t="str">
        <f>""</f>
        <v/>
      </c>
      <c r="CE90" t="str">
        <f>""</f>
        <v/>
      </c>
      <c r="CF90" t="str">
        <f>""</f>
        <v/>
      </c>
      <c r="CG90" t="str">
        <f>""</f>
        <v/>
      </c>
      <c r="CH90" t="str">
        <f>""</f>
        <v/>
      </c>
      <c r="CI90" t="str">
        <f>""</f>
        <v/>
      </c>
      <c r="CJ90" t="str">
        <f>""</f>
        <v/>
      </c>
      <c r="CK90" t="str">
        <f>""</f>
        <v/>
      </c>
      <c r="CL90" t="str">
        <f>""</f>
        <v/>
      </c>
      <c r="CM90" t="str">
        <f>""</f>
        <v/>
      </c>
      <c r="CN90" t="str">
        <f>""</f>
        <v/>
      </c>
      <c r="CO90" t="str">
        <f>""</f>
        <v/>
      </c>
      <c r="CP90" t="str">
        <f>""</f>
        <v/>
      </c>
      <c r="CQ90" t="str">
        <f>""</f>
        <v/>
      </c>
      <c r="CR90" t="str">
        <f>""</f>
        <v/>
      </c>
      <c r="CS90" t="str">
        <f>""</f>
        <v/>
      </c>
      <c r="CT90" t="str">
        <f>""</f>
        <v/>
      </c>
      <c r="CU90" t="str">
        <f>""</f>
        <v/>
      </c>
      <c r="CV90" t="str">
        <f>""</f>
        <v/>
      </c>
      <c r="CW90" t="str">
        <f>""</f>
        <v/>
      </c>
      <c r="CX90" t="str">
        <f>""</f>
        <v/>
      </c>
      <c r="CY90" t="str">
        <f>""</f>
        <v/>
      </c>
      <c r="CZ90" t="str">
        <f>""</f>
        <v/>
      </c>
      <c r="DA90" t="str">
        <f>""</f>
        <v/>
      </c>
      <c r="DB90" t="str">
        <f>""</f>
        <v/>
      </c>
      <c r="DC90" t="str">
        <f>""</f>
        <v/>
      </c>
      <c r="DD90" t="str">
        <f>""</f>
        <v/>
      </c>
      <c r="DE90" t="str">
        <f>""</f>
        <v/>
      </c>
      <c r="DF90" t="str">
        <f>""</f>
        <v/>
      </c>
      <c r="DG90" t="str">
        <f>""</f>
        <v/>
      </c>
      <c r="DH90" t="str">
        <f>""</f>
        <v/>
      </c>
      <c r="DI90" t="str">
        <f>""</f>
        <v/>
      </c>
      <c r="DJ90" t="str">
        <f>""</f>
        <v/>
      </c>
      <c r="DK90" t="str">
        <f>""</f>
        <v/>
      </c>
      <c r="DL90" t="str">
        <f>""</f>
        <v/>
      </c>
      <c r="DM90" t="str">
        <f>""</f>
        <v/>
      </c>
      <c r="DN90" t="str">
        <f>""</f>
        <v/>
      </c>
      <c r="DO90" t="str">
        <f>""</f>
        <v/>
      </c>
      <c r="DP90" t="str">
        <f>""</f>
        <v/>
      </c>
      <c r="DQ90" t="str">
        <f>""</f>
        <v/>
      </c>
      <c r="DR90" t="str">
        <f>""</f>
        <v/>
      </c>
      <c r="DS90" t="str">
        <f>""</f>
        <v/>
      </c>
    </row>
    <row r="91" spans="1:123" x14ac:dyDescent="0.25">
      <c r="A91" t="str">
        <f>""</f>
        <v/>
      </c>
      <c r="B91" t="str">
        <f>""</f>
        <v/>
      </c>
      <c r="C91" t="str">
        <f>""</f>
        <v/>
      </c>
      <c r="D91" t="str">
        <f>""</f>
        <v/>
      </c>
      <c r="E91" t="str">
        <f>""</f>
        <v/>
      </c>
      <c r="BM91" t="str">
        <f>""</f>
        <v/>
      </c>
      <c r="BN91" t="str">
        <f>""</f>
        <v/>
      </c>
      <c r="BO91" t="str">
        <f>""</f>
        <v/>
      </c>
      <c r="BP91" t="str">
        <f>""</f>
        <v/>
      </c>
      <c r="BQ91" t="str">
        <f>""</f>
        <v/>
      </c>
      <c r="BR91" t="str">
        <f>""</f>
        <v/>
      </c>
      <c r="BS91" t="str">
        <f>""</f>
        <v/>
      </c>
      <c r="BT91" t="str">
        <f>""</f>
        <v/>
      </c>
      <c r="BU91" t="str">
        <f>""</f>
        <v/>
      </c>
      <c r="BV91" t="str">
        <f>""</f>
        <v/>
      </c>
      <c r="BW91" t="str">
        <f>""</f>
        <v/>
      </c>
      <c r="BX91" t="str">
        <f>""</f>
        <v/>
      </c>
      <c r="BY91" t="str">
        <f>""</f>
        <v/>
      </c>
      <c r="BZ91" t="str">
        <f>""</f>
        <v/>
      </c>
      <c r="CA91" t="str">
        <f>""</f>
        <v/>
      </c>
      <c r="CB91" t="str">
        <f>""</f>
        <v/>
      </c>
      <c r="CC91" t="str">
        <f>""</f>
        <v/>
      </c>
      <c r="CD91" t="str">
        <f>""</f>
        <v/>
      </c>
      <c r="CE91" t="str">
        <f>""</f>
        <v/>
      </c>
      <c r="CF91" t="str">
        <f>""</f>
        <v/>
      </c>
      <c r="CG91" t="str">
        <f>""</f>
        <v/>
      </c>
      <c r="CH91" t="str">
        <f>""</f>
        <v/>
      </c>
      <c r="CI91" t="str">
        <f>""</f>
        <v/>
      </c>
      <c r="CJ91" t="str">
        <f>""</f>
        <v/>
      </c>
      <c r="CK91" t="str">
        <f>""</f>
        <v/>
      </c>
      <c r="CL91" t="str">
        <f>""</f>
        <v/>
      </c>
      <c r="CM91" t="str">
        <f>""</f>
        <v/>
      </c>
      <c r="CN91" t="str">
        <f>""</f>
        <v/>
      </c>
      <c r="CO91" t="str">
        <f>""</f>
        <v/>
      </c>
      <c r="CP91" t="str">
        <f>""</f>
        <v/>
      </c>
      <c r="CQ91" t="str">
        <f>""</f>
        <v/>
      </c>
      <c r="CR91" t="str">
        <f>""</f>
        <v/>
      </c>
      <c r="CS91" t="str">
        <f>""</f>
        <v/>
      </c>
      <c r="CT91" t="str">
        <f>""</f>
        <v/>
      </c>
      <c r="CU91" t="str">
        <f>""</f>
        <v/>
      </c>
      <c r="CV91" t="str">
        <f>""</f>
        <v/>
      </c>
      <c r="CW91" t="str">
        <f>""</f>
        <v/>
      </c>
      <c r="CX91" t="str">
        <f>""</f>
        <v/>
      </c>
      <c r="CY91" t="str">
        <f>""</f>
        <v/>
      </c>
      <c r="CZ91" t="str">
        <f>""</f>
        <v/>
      </c>
      <c r="DA91" t="str">
        <f>""</f>
        <v/>
      </c>
      <c r="DB91" t="str">
        <f>""</f>
        <v/>
      </c>
      <c r="DC91" t="str">
        <f>""</f>
        <v/>
      </c>
      <c r="DD91" t="str">
        <f>""</f>
        <v/>
      </c>
      <c r="DE91" t="str">
        <f>""</f>
        <v/>
      </c>
      <c r="DF91" t="str">
        <f>""</f>
        <v/>
      </c>
      <c r="DG91" t="str">
        <f>""</f>
        <v/>
      </c>
      <c r="DH91" t="str">
        <f>""</f>
        <v/>
      </c>
      <c r="DI91" t="str">
        <f>""</f>
        <v/>
      </c>
      <c r="DJ91" t="str">
        <f>""</f>
        <v/>
      </c>
      <c r="DK91" t="str">
        <f>""</f>
        <v/>
      </c>
      <c r="DL91" t="str">
        <f>""</f>
        <v/>
      </c>
      <c r="DM91" t="str">
        <f>""</f>
        <v/>
      </c>
      <c r="DN91" t="str">
        <f>""</f>
        <v/>
      </c>
      <c r="DO91" t="str">
        <f>""</f>
        <v/>
      </c>
      <c r="DP91" t="str">
        <f>""</f>
        <v/>
      </c>
      <c r="DQ91" t="str">
        <f>""</f>
        <v/>
      </c>
      <c r="DR91" t="str">
        <f>""</f>
        <v/>
      </c>
      <c r="DS91" t="str">
        <f>""</f>
        <v/>
      </c>
    </row>
    <row r="92" spans="1:123" x14ac:dyDescent="0.25">
      <c r="A92" t="str">
        <f>""</f>
        <v/>
      </c>
      <c r="B92" t="str">
        <f>""</f>
        <v/>
      </c>
      <c r="C92" t="str">
        <f>""</f>
        <v/>
      </c>
      <c r="D92" t="str">
        <f>""</f>
        <v/>
      </c>
      <c r="E92" t="str">
        <f>""</f>
        <v/>
      </c>
      <c r="BM92" t="str">
        <f>""</f>
        <v/>
      </c>
      <c r="BN92" t="str">
        <f>""</f>
        <v/>
      </c>
      <c r="BO92" t="str">
        <f>""</f>
        <v/>
      </c>
      <c r="BP92" t="str">
        <f>""</f>
        <v/>
      </c>
      <c r="BQ92" t="str">
        <f>""</f>
        <v/>
      </c>
      <c r="BR92" t="str">
        <f>""</f>
        <v/>
      </c>
      <c r="BS92" t="str">
        <f>""</f>
        <v/>
      </c>
      <c r="BT92" t="str">
        <f>""</f>
        <v/>
      </c>
      <c r="BU92" t="str">
        <f>""</f>
        <v/>
      </c>
      <c r="BV92" t="str">
        <f>""</f>
        <v/>
      </c>
      <c r="BW92" t="str">
        <f>""</f>
        <v/>
      </c>
      <c r="BX92" t="str">
        <f>""</f>
        <v/>
      </c>
      <c r="BY92" t="str">
        <f>""</f>
        <v/>
      </c>
      <c r="BZ92" t="str">
        <f>""</f>
        <v/>
      </c>
      <c r="CA92" t="str">
        <f>""</f>
        <v/>
      </c>
      <c r="CB92" t="str">
        <f>""</f>
        <v/>
      </c>
      <c r="CC92" t="str">
        <f>""</f>
        <v/>
      </c>
      <c r="CD92" t="str">
        <f>""</f>
        <v/>
      </c>
      <c r="CE92" t="str">
        <f>""</f>
        <v/>
      </c>
      <c r="CF92" t="str">
        <f>""</f>
        <v/>
      </c>
      <c r="CG92" t="str">
        <f>""</f>
        <v/>
      </c>
      <c r="CH92" t="str">
        <f>""</f>
        <v/>
      </c>
      <c r="CI92" t="str">
        <f>""</f>
        <v/>
      </c>
      <c r="CJ92" t="str">
        <f>""</f>
        <v/>
      </c>
      <c r="CK92" t="str">
        <f>""</f>
        <v/>
      </c>
      <c r="CL92" t="str">
        <f>""</f>
        <v/>
      </c>
      <c r="CM92" t="str">
        <f>""</f>
        <v/>
      </c>
      <c r="CN92" t="str">
        <f>""</f>
        <v/>
      </c>
      <c r="CO92" t="str">
        <f>""</f>
        <v/>
      </c>
      <c r="CP92" t="str">
        <f>""</f>
        <v/>
      </c>
      <c r="CQ92" t="str">
        <f>""</f>
        <v/>
      </c>
      <c r="CR92" t="str">
        <f>""</f>
        <v/>
      </c>
      <c r="CS92" t="str">
        <f>""</f>
        <v/>
      </c>
      <c r="CT92" t="str">
        <f>""</f>
        <v/>
      </c>
      <c r="CU92" t="str">
        <f>""</f>
        <v/>
      </c>
      <c r="CV92" t="str">
        <f>""</f>
        <v/>
      </c>
      <c r="CW92" t="str">
        <f>""</f>
        <v/>
      </c>
      <c r="CX92" t="str">
        <f>""</f>
        <v/>
      </c>
      <c r="CY92" t="str">
        <f>""</f>
        <v/>
      </c>
      <c r="CZ92" t="str">
        <f>""</f>
        <v/>
      </c>
      <c r="DA92" t="str">
        <f>""</f>
        <v/>
      </c>
      <c r="DB92" t="str">
        <f>""</f>
        <v/>
      </c>
      <c r="DC92" t="str">
        <f>""</f>
        <v/>
      </c>
      <c r="DD92" t="str">
        <f>""</f>
        <v/>
      </c>
      <c r="DE92" t="str">
        <f>""</f>
        <v/>
      </c>
      <c r="DF92" t="str">
        <f>""</f>
        <v/>
      </c>
      <c r="DG92" t="str">
        <f>""</f>
        <v/>
      </c>
      <c r="DH92" t="str">
        <f>""</f>
        <v/>
      </c>
      <c r="DI92" t="str">
        <f>""</f>
        <v/>
      </c>
      <c r="DJ92" t="str">
        <f>""</f>
        <v/>
      </c>
      <c r="DK92" t="str">
        <f>""</f>
        <v/>
      </c>
      <c r="DL92" t="str">
        <f>""</f>
        <v/>
      </c>
      <c r="DM92" t="str">
        <f>""</f>
        <v/>
      </c>
      <c r="DN92" t="str">
        <f>""</f>
        <v/>
      </c>
      <c r="DO92" t="str">
        <f>""</f>
        <v/>
      </c>
      <c r="DP92" t="str">
        <f>""</f>
        <v/>
      </c>
      <c r="DQ92" t="str">
        <f>""</f>
        <v/>
      </c>
      <c r="DR92" t="str">
        <f>""</f>
        <v/>
      </c>
      <c r="DS92" t="str">
        <f>""</f>
        <v/>
      </c>
    </row>
    <row r="93" spans="1:123" x14ac:dyDescent="0.25">
      <c r="A93" t="str">
        <f>""</f>
        <v/>
      </c>
      <c r="B93" t="str">
        <f>""</f>
        <v/>
      </c>
      <c r="C93" t="str">
        <f>""</f>
        <v/>
      </c>
      <c r="D93" t="str">
        <f>""</f>
        <v/>
      </c>
      <c r="E93" t="str">
        <f>""</f>
        <v/>
      </c>
      <c r="BM93" t="str">
        <f>""</f>
        <v/>
      </c>
      <c r="BN93" t="str">
        <f>""</f>
        <v/>
      </c>
      <c r="BO93" t="str">
        <f>""</f>
        <v/>
      </c>
      <c r="BP93" t="str">
        <f>""</f>
        <v/>
      </c>
      <c r="BQ93" t="str">
        <f>""</f>
        <v/>
      </c>
      <c r="BR93" t="str">
        <f>""</f>
        <v/>
      </c>
      <c r="BS93" t="str">
        <f>""</f>
        <v/>
      </c>
      <c r="BT93" t="str">
        <f>""</f>
        <v/>
      </c>
      <c r="BU93" t="str">
        <f>""</f>
        <v/>
      </c>
      <c r="BV93" t="str">
        <f>""</f>
        <v/>
      </c>
      <c r="BW93" t="str">
        <f>""</f>
        <v/>
      </c>
      <c r="BX93" t="str">
        <f>""</f>
        <v/>
      </c>
      <c r="BY93" t="str">
        <f>""</f>
        <v/>
      </c>
      <c r="BZ93" t="str">
        <f>""</f>
        <v/>
      </c>
      <c r="CA93" t="str">
        <f>""</f>
        <v/>
      </c>
      <c r="CB93" t="str">
        <f>""</f>
        <v/>
      </c>
      <c r="CC93" t="str">
        <f>""</f>
        <v/>
      </c>
      <c r="CD93" t="str">
        <f>""</f>
        <v/>
      </c>
      <c r="CE93" t="str">
        <f>""</f>
        <v/>
      </c>
      <c r="CF93" t="str">
        <f>""</f>
        <v/>
      </c>
      <c r="CG93" t="str">
        <f>""</f>
        <v/>
      </c>
      <c r="CH93" t="str">
        <f>""</f>
        <v/>
      </c>
      <c r="CI93" t="str">
        <f>""</f>
        <v/>
      </c>
      <c r="CJ93" t="str">
        <f>""</f>
        <v/>
      </c>
      <c r="CK93" t="str">
        <f>""</f>
        <v/>
      </c>
      <c r="CL93" t="str">
        <f>""</f>
        <v/>
      </c>
      <c r="CM93" t="str">
        <f>""</f>
        <v/>
      </c>
      <c r="CN93" t="str">
        <f>""</f>
        <v/>
      </c>
      <c r="CO93" t="str">
        <f>""</f>
        <v/>
      </c>
      <c r="CP93" t="str">
        <f>""</f>
        <v/>
      </c>
      <c r="CQ93" t="str">
        <f>""</f>
        <v/>
      </c>
      <c r="CR93" t="str">
        <f>""</f>
        <v/>
      </c>
      <c r="CS93" t="str">
        <f>""</f>
        <v/>
      </c>
      <c r="CT93" t="str">
        <f>""</f>
        <v/>
      </c>
      <c r="CU93" t="str">
        <f>""</f>
        <v/>
      </c>
      <c r="CV93" t="str">
        <f>""</f>
        <v/>
      </c>
      <c r="CW93" t="str">
        <f>""</f>
        <v/>
      </c>
      <c r="CX93" t="str">
        <f>""</f>
        <v/>
      </c>
      <c r="CY93" t="str">
        <f>""</f>
        <v/>
      </c>
      <c r="CZ93" t="str">
        <f>""</f>
        <v/>
      </c>
      <c r="DA93" t="str">
        <f>""</f>
        <v/>
      </c>
      <c r="DB93" t="str">
        <f>""</f>
        <v/>
      </c>
      <c r="DC93" t="str">
        <f>""</f>
        <v/>
      </c>
      <c r="DD93" t="str">
        <f>""</f>
        <v/>
      </c>
      <c r="DE93" t="str">
        <f>""</f>
        <v/>
      </c>
      <c r="DF93" t="str">
        <f>""</f>
        <v/>
      </c>
      <c r="DG93" t="str">
        <f>""</f>
        <v/>
      </c>
      <c r="DH93" t="str">
        <f>""</f>
        <v/>
      </c>
      <c r="DI93" t="str">
        <f>""</f>
        <v/>
      </c>
      <c r="DJ93" t="str">
        <f>""</f>
        <v/>
      </c>
      <c r="DK93" t="str">
        <f>""</f>
        <v/>
      </c>
      <c r="DL93" t="str">
        <f>""</f>
        <v/>
      </c>
      <c r="DM93" t="str">
        <f>""</f>
        <v/>
      </c>
      <c r="DN93" t="str">
        <f>""</f>
        <v/>
      </c>
      <c r="DO93" t="str">
        <f>""</f>
        <v/>
      </c>
      <c r="DP93" t="str">
        <f>""</f>
        <v/>
      </c>
      <c r="DQ93" t="str">
        <f>""</f>
        <v/>
      </c>
      <c r="DR93" t="str">
        <f>""</f>
        <v/>
      </c>
      <c r="DS93" t="str">
        <f>""</f>
        <v/>
      </c>
    </row>
    <row r="94" spans="1:123" x14ac:dyDescent="0.25">
      <c r="A94" t="str">
        <f>"~~~~~~~~~~~~~~~~~~~~~"</f>
        <v>~~~~~~~~~~~~~~~~~~~~~</v>
      </c>
      <c r="B94" t="str">
        <f>"~~~~~~~~~~~~~~~~~~~~~"</f>
        <v>~~~~~~~~~~~~~~~~~~~~~</v>
      </c>
      <c r="C94" t="str">
        <f>"~~~~~~~~~~~~~~~~~~~~~"</f>
        <v>~~~~~~~~~~~~~~~~~~~~~</v>
      </c>
      <c r="D94" t="str">
        <f>"~~~~~~~~~~~~~~~~~~~~~"</f>
        <v>~~~~~~~~~~~~~~~~~~~~~</v>
      </c>
      <c r="E94" t="str">
        <f>"~~~~~~~~~~~~~~~~~~~~~"</f>
        <v>~~~~~~~~~~~~~~~~~~~~~</v>
      </c>
      <c r="BM94" t="str">
        <f>""</f>
        <v/>
      </c>
      <c r="BN94" t="str">
        <f>""</f>
        <v/>
      </c>
      <c r="BO94" t="str">
        <f>""</f>
        <v/>
      </c>
      <c r="BP94" t="str">
        <f>""</f>
        <v/>
      </c>
      <c r="BQ94" t="str">
        <f>""</f>
        <v/>
      </c>
      <c r="BR94" t="str">
        <f>""</f>
        <v/>
      </c>
      <c r="BS94" t="str">
        <f>""</f>
        <v/>
      </c>
      <c r="BT94" t="str">
        <f>""</f>
        <v/>
      </c>
      <c r="BU94" t="str">
        <f>""</f>
        <v/>
      </c>
      <c r="BV94" t="str">
        <f>""</f>
        <v/>
      </c>
      <c r="BW94" t="str">
        <f>""</f>
        <v/>
      </c>
      <c r="BX94" t="str">
        <f>""</f>
        <v/>
      </c>
      <c r="BY94" t="str">
        <f>""</f>
        <v/>
      </c>
      <c r="BZ94" t="str">
        <f>""</f>
        <v/>
      </c>
      <c r="CA94" t="str">
        <f>""</f>
        <v/>
      </c>
      <c r="CB94" t="str">
        <f>""</f>
        <v/>
      </c>
      <c r="CC94" t="str">
        <f>""</f>
        <v/>
      </c>
      <c r="CD94" t="str">
        <f>""</f>
        <v/>
      </c>
      <c r="CE94" t="str">
        <f>""</f>
        <v/>
      </c>
      <c r="CF94" t="str">
        <f>""</f>
        <v/>
      </c>
      <c r="CG94" t="str">
        <f>""</f>
        <v/>
      </c>
      <c r="CH94" t="str">
        <f>""</f>
        <v/>
      </c>
      <c r="CI94" t="str">
        <f>""</f>
        <v/>
      </c>
      <c r="CJ94" t="str">
        <f>""</f>
        <v/>
      </c>
      <c r="CK94" t="str">
        <f>""</f>
        <v/>
      </c>
      <c r="CL94" t="str">
        <f>""</f>
        <v/>
      </c>
      <c r="CM94" t="str">
        <f>""</f>
        <v/>
      </c>
      <c r="CN94" t="str">
        <f>""</f>
        <v/>
      </c>
      <c r="CO94" t="str">
        <f>""</f>
        <v/>
      </c>
      <c r="CP94" t="str">
        <f>""</f>
        <v/>
      </c>
      <c r="CQ94" t="str">
        <f>""</f>
        <v/>
      </c>
      <c r="CR94" t="str">
        <f>""</f>
        <v/>
      </c>
      <c r="CS94" t="str">
        <f>""</f>
        <v/>
      </c>
      <c r="CT94" t="str">
        <f>""</f>
        <v/>
      </c>
      <c r="CU94" t="str">
        <f>""</f>
        <v/>
      </c>
      <c r="CV94" t="str">
        <f>""</f>
        <v/>
      </c>
      <c r="CW94" t="str">
        <f>""</f>
        <v/>
      </c>
      <c r="CX94" t="str">
        <f>""</f>
        <v/>
      </c>
      <c r="CY94" t="str">
        <f>""</f>
        <v/>
      </c>
      <c r="CZ94" t="str">
        <f>""</f>
        <v/>
      </c>
      <c r="DA94" t="str">
        <f>""</f>
        <v/>
      </c>
      <c r="DB94" t="str">
        <f>""</f>
        <v/>
      </c>
      <c r="DC94" t="str">
        <f>""</f>
        <v/>
      </c>
      <c r="DD94" t="str">
        <f>""</f>
        <v/>
      </c>
      <c r="DE94" t="str">
        <f>""</f>
        <v/>
      </c>
      <c r="DF94" t="str">
        <f>""</f>
        <v/>
      </c>
      <c r="DG94" t="str">
        <f>""</f>
        <v/>
      </c>
      <c r="DH94" t="str">
        <f>""</f>
        <v/>
      </c>
      <c r="DI94" t="str">
        <f>""</f>
        <v/>
      </c>
      <c r="DJ94" t="str">
        <f>""</f>
        <v/>
      </c>
      <c r="DK94" t="str">
        <f>""</f>
        <v/>
      </c>
      <c r="DL94" t="str">
        <f>""</f>
        <v/>
      </c>
      <c r="DM94" t="str">
        <f>""</f>
        <v/>
      </c>
      <c r="DN94" t="str">
        <f>""</f>
        <v/>
      </c>
      <c r="DO94" t="str">
        <f>""</f>
        <v/>
      </c>
      <c r="DP94" t="str">
        <f>""</f>
        <v/>
      </c>
      <c r="DQ94" t="str">
        <f>""</f>
        <v/>
      </c>
      <c r="DR94" t="str">
        <f>""</f>
        <v/>
      </c>
      <c r="DS94" t="str">
        <f>""</f>
        <v/>
      </c>
    </row>
    <row r="95" spans="1:123" x14ac:dyDescent="0.25">
      <c r="A95" t="str">
        <f>"Rows below for column date calculation"</f>
        <v>Rows below for column date calculation</v>
      </c>
      <c r="BM95" t="str">
        <f>""</f>
        <v/>
      </c>
      <c r="BN95" t="str">
        <f>""</f>
        <v/>
      </c>
      <c r="BO95" t="str">
        <f>""</f>
        <v/>
      </c>
      <c r="BP95" t="str">
        <f>""</f>
        <v/>
      </c>
      <c r="BQ95" t="str">
        <f>""</f>
        <v/>
      </c>
      <c r="BR95" t="str">
        <f>""</f>
        <v/>
      </c>
      <c r="BS95" t="str">
        <f>""</f>
        <v/>
      </c>
      <c r="BT95" t="str">
        <f>""</f>
        <v/>
      </c>
      <c r="BU95" t="str">
        <f>""</f>
        <v/>
      </c>
      <c r="BV95" t="str">
        <f>""</f>
        <v/>
      </c>
      <c r="BW95" t="str">
        <f>""</f>
        <v/>
      </c>
      <c r="BX95" t="str">
        <f>""</f>
        <v/>
      </c>
      <c r="BY95" t="str">
        <f>""</f>
        <v/>
      </c>
      <c r="BZ95" t="str">
        <f>""</f>
        <v/>
      </c>
      <c r="CA95" t="str">
        <f>""</f>
        <v/>
      </c>
      <c r="CB95" t="str">
        <f>""</f>
        <v/>
      </c>
      <c r="CC95" t="str">
        <f>""</f>
        <v/>
      </c>
      <c r="CD95" t="str">
        <f>""</f>
        <v/>
      </c>
      <c r="CE95" t="str">
        <f>""</f>
        <v/>
      </c>
      <c r="CF95" t="str">
        <f>""</f>
        <v/>
      </c>
      <c r="CG95" t="str">
        <f>""</f>
        <v/>
      </c>
      <c r="CH95" t="str">
        <f>""</f>
        <v/>
      </c>
      <c r="CI95" t="str">
        <f>""</f>
        <v/>
      </c>
      <c r="CJ95" t="str">
        <f>""</f>
        <v/>
      </c>
      <c r="CK95" t="str">
        <f>""</f>
        <v/>
      </c>
      <c r="CL95" t="str">
        <f>""</f>
        <v/>
      </c>
      <c r="CM95" t="str">
        <f>""</f>
        <v/>
      </c>
      <c r="CN95" t="str">
        <f>""</f>
        <v/>
      </c>
      <c r="CO95" t="str">
        <f>""</f>
        <v/>
      </c>
      <c r="CP95" t="str">
        <f>""</f>
        <v/>
      </c>
      <c r="CQ95" t="str">
        <f>""</f>
        <v/>
      </c>
      <c r="CR95" t="str">
        <f>""</f>
        <v/>
      </c>
      <c r="CS95" t="str">
        <f>""</f>
        <v/>
      </c>
      <c r="CT95" t="str">
        <f>""</f>
        <v/>
      </c>
      <c r="CU95" t="str">
        <f>""</f>
        <v/>
      </c>
      <c r="CV95" t="str">
        <f>""</f>
        <v/>
      </c>
      <c r="CW95" t="str">
        <f>""</f>
        <v/>
      </c>
      <c r="CX95" t="str">
        <f>""</f>
        <v/>
      </c>
      <c r="CY95" t="str">
        <f>""</f>
        <v/>
      </c>
      <c r="CZ95" t="str">
        <f>""</f>
        <v/>
      </c>
      <c r="DA95" t="str">
        <f>""</f>
        <v/>
      </c>
      <c r="DB95" t="str">
        <f>""</f>
        <v/>
      </c>
      <c r="DC95" t="str">
        <f>""</f>
        <v/>
      </c>
      <c r="DD95" t="str">
        <f>""</f>
        <v/>
      </c>
      <c r="DE95" t="str">
        <f>""</f>
        <v/>
      </c>
      <c r="DF95" t="str">
        <f>""</f>
        <v/>
      </c>
      <c r="DG95" t="str">
        <f>""</f>
        <v/>
      </c>
      <c r="DH95" t="str">
        <f>""</f>
        <v/>
      </c>
      <c r="DI95" t="str">
        <f>""</f>
        <v/>
      </c>
      <c r="DJ95" t="str">
        <f>""</f>
        <v/>
      </c>
      <c r="DK95" t="str">
        <f>""</f>
        <v/>
      </c>
      <c r="DL95" t="str">
        <f>""</f>
        <v/>
      </c>
      <c r="DM95" t="str">
        <f>""</f>
        <v/>
      </c>
      <c r="DN95" t="str">
        <f>""</f>
        <v/>
      </c>
      <c r="DO95" t="str">
        <f>""</f>
        <v/>
      </c>
      <c r="DP95" t="str">
        <f>""</f>
        <v/>
      </c>
      <c r="DQ95" t="str">
        <f>""</f>
        <v/>
      </c>
      <c r="DR95" t="str">
        <f>""</f>
        <v/>
      </c>
      <c r="DS95" t="str">
        <f>""</f>
        <v/>
      </c>
    </row>
    <row r="96" spans="1:123" x14ac:dyDescent="0.25">
      <c r="A96" t="str">
        <f>"Downloaded at"</f>
        <v>Downloaded at</v>
      </c>
      <c r="B96">
        <f>DATE(2019, 2,28)</f>
        <v>43524</v>
      </c>
      <c r="C96" t="str">
        <f>""</f>
        <v/>
      </c>
      <c r="D96" t="str">
        <f>""</f>
        <v/>
      </c>
      <c r="E96" t="str">
        <f>""</f>
        <v/>
      </c>
      <c r="BM96" t="str">
        <f>""</f>
        <v/>
      </c>
      <c r="BN96" t="str">
        <f>""</f>
        <v/>
      </c>
      <c r="BO96" t="str">
        <f>""</f>
        <v/>
      </c>
      <c r="BP96" t="str">
        <f>""</f>
        <v/>
      </c>
      <c r="BQ96" t="str">
        <f>""</f>
        <v/>
      </c>
      <c r="BR96" t="str">
        <f>""</f>
        <v/>
      </c>
      <c r="BS96" t="str">
        <f>""</f>
        <v/>
      </c>
      <c r="BT96" t="str">
        <f>""</f>
        <v/>
      </c>
      <c r="BU96" t="str">
        <f>""</f>
        <v/>
      </c>
      <c r="BV96" t="str">
        <f>""</f>
        <v/>
      </c>
      <c r="BW96" t="str">
        <f>""</f>
        <v/>
      </c>
      <c r="BX96" t="str">
        <f>""</f>
        <v/>
      </c>
      <c r="BY96" t="str">
        <f>""</f>
        <v/>
      </c>
      <c r="BZ96" t="str">
        <f>""</f>
        <v/>
      </c>
      <c r="CA96" t="str">
        <f>""</f>
        <v/>
      </c>
      <c r="CB96" t="str">
        <f>""</f>
        <v/>
      </c>
      <c r="CC96" t="str">
        <f>""</f>
        <v/>
      </c>
      <c r="CD96" t="str">
        <f>""</f>
        <v/>
      </c>
      <c r="CE96" t="str">
        <f>""</f>
        <v/>
      </c>
      <c r="CF96" t="str">
        <f>""</f>
        <v/>
      </c>
      <c r="CG96" t="str">
        <f>""</f>
        <v/>
      </c>
      <c r="CH96" t="str">
        <f>""</f>
        <v/>
      </c>
      <c r="CI96" t="str">
        <f>""</f>
        <v/>
      </c>
      <c r="CJ96" t="str">
        <f>""</f>
        <v/>
      </c>
      <c r="CK96" t="str">
        <f>""</f>
        <v/>
      </c>
      <c r="CL96" t="str">
        <f>""</f>
        <v/>
      </c>
      <c r="CM96" t="str">
        <f>""</f>
        <v/>
      </c>
      <c r="CN96" t="str">
        <f>""</f>
        <v/>
      </c>
      <c r="CO96" t="str">
        <f>""</f>
        <v/>
      </c>
      <c r="CP96" t="str">
        <f>""</f>
        <v/>
      </c>
      <c r="CQ96" t="str">
        <f>""</f>
        <v/>
      </c>
      <c r="CR96" t="str">
        <f>""</f>
        <v/>
      </c>
      <c r="CS96" t="str">
        <f>""</f>
        <v/>
      </c>
      <c r="CT96" t="str">
        <f>""</f>
        <v/>
      </c>
      <c r="CU96" t="str">
        <f>""</f>
        <v/>
      </c>
      <c r="CV96" t="str">
        <f>""</f>
        <v/>
      </c>
      <c r="CW96" t="str">
        <f>""</f>
        <v/>
      </c>
      <c r="CX96" t="str">
        <f>""</f>
        <v/>
      </c>
      <c r="CY96" t="str">
        <f>""</f>
        <v/>
      </c>
      <c r="CZ96" t="str">
        <f>""</f>
        <v/>
      </c>
      <c r="DA96" t="str">
        <f>""</f>
        <v/>
      </c>
      <c r="DB96" t="str">
        <f>""</f>
        <v/>
      </c>
      <c r="DC96" t="str">
        <f>""</f>
        <v/>
      </c>
      <c r="DD96" t="str">
        <f>""</f>
        <v/>
      </c>
      <c r="DE96" t="str">
        <f>""</f>
        <v/>
      </c>
      <c r="DF96" t="str">
        <f>""</f>
        <v/>
      </c>
      <c r="DG96" t="str">
        <f>""</f>
        <v/>
      </c>
      <c r="DH96" t="str">
        <f>""</f>
        <v/>
      </c>
      <c r="DI96" t="str">
        <f>""</f>
        <v/>
      </c>
      <c r="DJ96" t="str">
        <f>""</f>
        <v/>
      </c>
      <c r="DK96" t="str">
        <f>""</f>
        <v/>
      </c>
      <c r="DL96" t="str">
        <f>""</f>
        <v/>
      </c>
      <c r="DM96" t="str">
        <f>""</f>
        <v/>
      </c>
      <c r="DN96" t="str">
        <f>""</f>
        <v/>
      </c>
      <c r="DO96" t="str">
        <f>""</f>
        <v/>
      </c>
      <c r="DP96" t="str">
        <f>""</f>
        <v/>
      </c>
      <c r="DQ96" t="str">
        <f>""</f>
        <v/>
      </c>
      <c r="DR96" t="str">
        <f>""</f>
        <v/>
      </c>
      <c r="DS96" t="str">
        <f>""</f>
        <v/>
      </c>
    </row>
    <row r="97" spans="1:123" x14ac:dyDescent="0.25">
      <c r="A97" t="str">
        <f>"This is End Date"</f>
        <v>This is End Date</v>
      </c>
      <c r="B97">
        <f ca="1">$B$52</f>
        <v>43524</v>
      </c>
      <c r="C97" t="str">
        <f>""</f>
        <v/>
      </c>
      <c r="D97" t="str">
        <f>""</f>
        <v/>
      </c>
      <c r="E97" t="str">
        <f>""</f>
        <v/>
      </c>
      <c r="BM97" t="str">
        <f>""</f>
        <v/>
      </c>
      <c r="BN97" t="str">
        <f>""</f>
        <v/>
      </c>
      <c r="BO97" t="str">
        <f>""</f>
        <v/>
      </c>
      <c r="BP97" t="str">
        <f>""</f>
        <v/>
      </c>
      <c r="BQ97" t="str">
        <f>""</f>
        <v/>
      </c>
      <c r="BR97" t="str">
        <f>""</f>
        <v/>
      </c>
      <c r="BS97" t="str">
        <f>""</f>
        <v/>
      </c>
      <c r="BT97" t="str">
        <f>""</f>
        <v/>
      </c>
      <c r="BU97" t="str">
        <f>""</f>
        <v/>
      </c>
      <c r="BV97" t="str">
        <f>""</f>
        <v/>
      </c>
      <c r="BW97" t="str">
        <f>""</f>
        <v/>
      </c>
      <c r="BX97" t="str">
        <f>""</f>
        <v/>
      </c>
      <c r="BY97" t="str">
        <f>""</f>
        <v/>
      </c>
      <c r="BZ97" t="str">
        <f>""</f>
        <v/>
      </c>
      <c r="CA97" t="str">
        <f>""</f>
        <v/>
      </c>
      <c r="CB97" t="str">
        <f>""</f>
        <v/>
      </c>
      <c r="CC97" t="str">
        <f>""</f>
        <v/>
      </c>
      <c r="CD97" t="str">
        <f>""</f>
        <v/>
      </c>
      <c r="CE97" t="str">
        <f>""</f>
        <v/>
      </c>
      <c r="CF97" t="str">
        <f>""</f>
        <v/>
      </c>
      <c r="CG97" t="str">
        <f>""</f>
        <v/>
      </c>
      <c r="CH97" t="str">
        <f>""</f>
        <v/>
      </c>
      <c r="CI97" t="str">
        <f>""</f>
        <v/>
      </c>
      <c r="CJ97" t="str">
        <f>""</f>
        <v/>
      </c>
      <c r="CK97" t="str">
        <f>""</f>
        <v/>
      </c>
      <c r="CL97" t="str">
        <f>""</f>
        <v/>
      </c>
      <c r="CM97" t="str">
        <f>""</f>
        <v/>
      </c>
      <c r="CN97" t="str">
        <f>""</f>
        <v/>
      </c>
      <c r="CO97" t="str">
        <f>""</f>
        <v/>
      </c>
      <c r="CP97" t="str">
        <f>""</f>
        <v/>
      </c>
      <c r="CQ97" t="str">
        <f>""</f>
        <v/>
      </c>
      <c r="CR97" t="str">
        <f>""</f>
        <v/>
      </c>
      <c r="CS97" t="str">
        <f>""</f>
        <v/>
      </c>
      <c r="CT97" t="str">
        <f>""</f>
        <v/>
      </c>
      <c r="CU97" t="str">
        <f>""</f>
        <v/>
      </c>
      <c r="CV97" t="str">
        <f>""</f>
        <v/>
      </c>
      <c r="CW97" t="str">
        <f>""</f>
        <v/>
      </c>
      <c r="CX97" t="str">
        <f>""</f>
        <v/>
      </c>
      <c r="CY97" t="str">
        <f>""</f>
        <v/>
      </c>
      <c r="CZ97" t="str">
        <f>""</f>
        <v/>
      </c>
      <c r="DA97" t="str">
        <f>""</f>
        <v/>
      </c>
      <c r="DB97" t="str">
        <f>""</f>
        <v/>
      </c>
      <c r="DC97" t="str">
        <f>""</f>
        <v/>
      </c>
      <c r="DD97" t="str">
        <f>""</f>
        <v/>
      </c>
      <c r="DE97" t="str">
        <f>""</f>
        <v/>
      </c>
      <c r="DF97" t="str">
        <f>""</f>
        <v/>
      </c>
      <c r="DG97" t="str">
        <f>""</f>
        <v/>
      </c>
      <c r="DH97" t="str">
        <f>""</f>
        <v/>
      </c>
      <c r="DI97" t="str">
        <f>""</f>
        <v/>
      </c>
      <c r="DJ97" t="str">
        <f>""</f>
        <v/>
      </c>
      <c r="DK97" t="str">
        <f>""</f>
        <v/>
      </c>
      <c r="DL97" t="str">
        <f>""</f>
        <v/>
      </c>
      <c r="DM97" t="str">
        <f>""</f>
        <v/>
      </c>
      <c r="DN97" t="str">
        <f>""</f>
        <v/>
      </c>
      <c r="DO97" t="str">
        <f>""</f>
        <v/>
      </c>
      <c r="DP97" t="str">
        <f>""</f>
        <v/>
      </c>
      <c r="DQ97" t="str">
        <f>""</f>
        <v/>
      </c>
      <c r="DR97" t="str">
        <f>""</f>
        <v/>
      </c>
      <c r="DS97" t="str">
        <f>""</f>
        <v/>
      </c>
    </row>
    <row r="98" spans="1:123" x14ac:dyDescent="0.25">
      <c r="A98" t="str">
        <f>"Description"</f>
        <v>Description</v>
      </c>
      <c r="B98" t="str">
        <f>"Ticker"</f>
        <v>Ticker</v>
      </c>
      <c r="C98" t="str">
        <f>"Field ID"</f>
        <v>Field ID</v>
      </c>
      <c r="D98" t="str">
        <f>"Field Mnemonic"</f>
        <v>Field Mnemonic</v>
      </c>
      <c r="E98" t="str">
        <f>"Data State"</f>
        <v>Data State</v>
      </c>
      <c r="BM98" t="str">
        <f>""</f>
        <v/>
      </c>
      <c r="BN98" t="str">
        <f>""</f>
        <v/>
      </c>
      <c r="BO98" t="str">
        <f>""</f>
        <v/>
      </c>
      <c r="BP98" t="str">
        <f>""</f>
        <v/>
      </c>
      <c r="BQ98" t="str">
        <f>""</f>
        <v/>
      </c>
      <c r="BR98" t="str">
        <f>""</f>
        <v/>
      </c>
      <c r="BS98" t="str">
        <f>""</f>
        <v/>
      </c>
      <c r="BT98" t="str">
        <f>""</f>
        <v/>
      </c>
      <c r="BU98" t="str">
        <f>""</f>
        <v/>
      </c>
      <c r="BV98" t="str">
        <f>""</f>
        <v/>
      </c>
      <c r="BW98" t="str">
        <f>""</f>
        <v/>
      </c>
      <c r="BX98" t="str">
        <f>""</f>
        <v/>
      </c>
      <c r="BY98" t="str">
        <f>""</f>
        <v/>
      </c>
      <c r="BZ98" t="str">
        <f>""</f>
        <v/>
      </c>
      <c r="CA98" t="str">
        <f>""</f>
        <v/>
      </c>
      <c r="CB98" t="str">
        <f>""</f>
        <v/>
      </c>
      <c r="CC98" t="str">
        <f>""</f>
        <v/>
      </c>
      <c r="CD98" t="str">
        <f>""</f>
        <v/>
      </c>
      <c r="CE98" t="str">
        <f>""</f>
        <v/>
      </c>
      <c r="CF98" t="str">
        <f>""</f>
        <v/>
      </c>
      <c r="CG98" t="str">
        <f>""</f>
        <v/>
      </c>
      <c r="CH98" t="str">
        <f>""</f>
        <v/>
      </c>
      <c r="CI98" t="str">
        <f>""</f>
        <v/>
      </c>
      <c r="CJ98" t="str">
        <f>""</f>
        <v/>
      </c>
      <c r="CK98" t="str">
        <f>""</f>
        <v/>
      </c>
      <c r="CL98" t="str">
        <f>""</f>
        <v/>
      </c>
      <c r="CM98" t="str">
        <f>""</f>
        <v/>
      </c>
      <c r="CN98" t="str">
        <f>""</f>
        <v/>
      </c>
      <c r="CO98" t="str">
        <f>""</f>
        <v/>
      </c>
      <c r="CP98" t="str">
        <f>""</f>
        <v/>
      </c>
      <c r="CQ98" t="str">
        <f>""</f>
        <v/>
      </c>
      <c r="CR98" t="str">
        <f>""</f>
        <v/>
      </c>
      <c r="CS98" t="str">
        <f>""</f>
        <v/>
      </c>
      <c r="CT98" t="str">
        <f>""</f>
        <v/>
      </c>
      <c r="CU98" t="str">
        <f>""</f>
        <v/>
      </c>
      <c r="CV98" t="str">
        <f>""</f>
        <v/>
      </c>
      <c r="CW98" t="str">
        <f>""</f>
        <v/>
      </c>
      <c r="CX98" t="str">
        <f>""</f>
        <v/>
      </c>
      <c r="CY98" t="str">
        <f>""</f>
        <v/>
      </c>
      <c r="CZ98" t="str">
        <f>""</f>
        <v/>
      </c>
      <c r="DA98" t="str">
        <f>""</f>
        <v/>
      </c>
      <c r="DB98" t="str">
        <f>""</f>
        <v/>
      </c>
      <c r="DC98" t="str">
        <f>""</f>
        <v/>
      </c>
      <c r="DD98" t="str">
        <f>""</f>
        <v/>
      </c>
      <c r="DE98" t="str">
        <f>""</f>
        <v/>
      </c>
      <c r="DF98" t="str">
        <f>""</f>
        <v/>
      </c>
      <c r="DG98" t="str">
        <f>""</f>
        <v/>
      </c>
      <c r="DH98" t="str">
        <f>""</f>
        <v/>
      </c>
      <c r="DI98" t="str">
        <f>""</f>
        <v/>
      </c>
      <c r="DJ98" t="str">
        <f>""</f>
        <v/>
      </c>
      <c r="DK98" t="str">
        <f>""</f>
        <v/>
      </c>
      <c r="DL98" t="str">
        <f>""</f>
        <v/>
      </c>
      <c r="DM98" t="str">
        <f>""</f>
        <v/>
      </c>
      <c r="DN98" t="str">
        <f>""</f>
        <v/>
      </c>
      <c r="DO98" t="str">
        <f>""</f>
        <v/>
      </c>
      <c r="DP98" t="str">
        <f>""</f>
        <v/>
      </c>
      <c r="DQ98" t="str">
        <f>""</f>
        <v/>
      </c>
      <c r="DR98" t="str">
        <f>""</f>
        <v/>
      </c>
      <c r="DS98" t="str">
        <f>""</f>
        <v/>
      </c>
    </row>
    <row r="99" spans="1:123" x14ac:dyDescent="0.25">
      <c r="A99" t="str">
        <f>"Snapshot Date"</f>
        <v>Snapshot Date</v>
      </c>
      <c r="B99">
        <f>DATE(2019, 2,28)</f>
        <v>43524</v>
      </c>
      <c r="C99" t="str">
        <f>""</f>
        <v/>
      </c>
      <c r="D99" t="str">
        <f>""</f>
        <v/>
      </c>
      <c r="E99" t="str">
        <f>""</f>
        <v/>
      </c>
      <c r="BM99" t="str">
        <f>""</f>
        <v/>
      </c>
      <c r="BN99" t="str">
        <f>""</f>
        <v/>
      </c>
      <c r="BO99" t="str">
        <f>""</f>
        <v/>
      </c>
      <c r="BP99" t="str">
        <f>""</f>
        <v/>
      </c>
      <c r="BQ99" t="str">
        <f>""</f>
        <v/>
      </c>
      <c r="BR99" t="str">
        <f>""</f>
        <v/>
      </c>
      <c r="BS99" t="str">
        <f>""</f>
        <v/>
      </c>
      <c r="BT99" t="str">
        <f>""</f>
        <v/>
      </c>
      <c r="BU99" t="str">
        <f>""</f>
        <v/>
      </c>
      <c r="BV99" t="str">
        <f>""</f>
        <v/>
      </c>
      <c r="BW99" t="str">
        <f>""</f>
        <v/>
      </c>
      <c r="BX99" t="str">
        <f>""</f>
        <v/>
      </c>
      <c r="BY99" t="str">
        <f>""</f>
        <v/>
      </c>
      <c r="BZ99" t="str">
        <f>""</f>
        <v/>
      </c>
      <c r="CA99" t="str">
        <f>""</f>
        <v/>
      </c>
      <c r="CB99" t="str">
        <f>""</f>
        <v/>
      </c>
      <c r="CC99" t="str">
        <f>""</f>
        <v/>
      </c>
      <c r="CD99" t="str">
        <f>""</f>
        <v/>
      </c>
      <c r="CE99" t="str">
        <f>""</f>
        <v/>
      </c>
      <c r="CF99" t="str">
        <f>""</f>
        <v/>
      </c>
      <c r="CG99" t="str">
        <f>""</f>
        <v/>
      </c>
      <c r="CH99" t="str">
        <f>""</f>
        <v/>
      </c>
      <c r="CI99" t="str">
        <f>""</f>
        <v/>
      </c>
      <c r="CJ99" t="str">
        <f>""</f>
        <v/>
      </c>
      <c r="CK99" t="str">
        <f>""</f>
        <v/>
      </c>
      <c r="CL99" t="str">
        <f>""</f>
        <v/>
      </c>
      <c r="CM99" t="str">
        <f>""</f>
        <v/>
      </c>
      <c r="CN99" t="str">
        <f>""</f>
        <v/>
      </c>
      <c r="CO99" t="str">
        <f>""</f>
        <v/>
      </c>
      <c r="CP99" t="str">
        <f>""</f>
        <v/>
      </c>
      <c r="CQ99" t="str">
        <f>""</f>
        <v/>
      </c>
      <c r="CR99" t="str">
        <f>""</f>
        <v/>
      </c>
      <c r="CS99" t="str">
        <f>""</f>
        <v/>
      </c>
      <c r="CT99" t="str">
        <f>""</f>
        <v/>
      </c>
      <c r="CU99" t="str">
        <f>""</f>
        <v/>
      </c>
      <c r="CV99" t="str">
        <f>""</f>
        <v/>
      </c>
      <c r="CW99" t="str">
        <f>""</f>
        <v/>
      </c>
      <c r="CX99" t="str">
        <f>""</f>
        <v/>
      </c>
      <c r="CY99" t="str">
        <f>""</f>
        <v/>
      </c>
      <c r="CZ99" t="str">
        <f>""</f>
        <v/>
      </c>
      <c r="DA99" t="str">
        <f>""</f>
        <v/>
      </c>
      <c r="DB99" t="str">
        <f>""</f>
        <v/>
      </c>
      <c r="DC99" t="str">
        <f>""</f>
        <v/>
      </c>
      <c r="DD99" t="str">
        <f>""</f>
        <v/>
      </c>
      <c r="DE99" t="str">
        <f>""</f>
        <v/>
      </c>
      <c r="DF99" t="str">
        <f>""</f>
        <v/>
      </c>
      <c r="DG99" t="str">
        <f>""</f>
        <v/>
      </c>
      <c r="DH99" t="str">
        <f>""</f>
        <v/>
      </c>
      <c r="DI99" t="str">
        <f>""</f>
        <v/>
      </c>
      <c r="DJ99" t="str">
        <f>""</f>
        <v/>
      </c>
      <c r="DK99" t="str">
        <f>""</f>
        <v/>
      </c>
      <c r="DL99" t="str">
        <f>""</f>
        <v/>
      </c>
      <c r="DM99" t="str">
        <f>""</f>
        <v/>
      </c>
      <c r="DN99" t="str">
        <f>""</f>
        <v/>
      </c>
      <c r="DO99" t="str">
        <f>""</f>
        <v/>
      </c>
      <c r="DP99" t="str">
        <f>""</f>
        <v/>
      </c>
      <c r="DQ99" t="str">
        <f>""</f>
        <v/>
      </c>
      <c r="DR99" t="str">
        <f>""</f>
        <v/>
      </c>
      <c r="DS99" t="str">
        <f>""</f>
        <v/>
      </c>
    </row>
    <row r="100" spans="1:123" x14ac:dyDescent="0.25">
      <c r="A100" t="str">
        <f>"Snapshot header"</f>
        <v>Snapshot header</v>
      </c>
      <c r="B100">
        <f>2</f>
        <v>2</v>
      </c>
      <c r="C100" t="str">
        <f>"2018 Q4"</f>
        <v>2018 Q4</v>
      </c>
      <c r="D100" t="str">
        <f>"2018 Q3"</f>
        <v>2018 Q3</v>
      </c>
      <c r="E100" t="str">
        <f>"2018 Q2"</f>
        <v>2018 Q2</v>
      </c>
      <c r="F100" t="str">
        <f>"2018 Q1"</f>
        <v>2018 Q1</v>
      </c>
      <c r="G100" t="str">
        <f>"2017 Q4"</f>
        <v>2017 Q4</v>
      </c>
      <c r="H100" t="str">
        <f>"2017 Q3"</f>
        <v>2017 Q3</v>
      </c>
      <c r="I100" t="str">
        <f>"2017 Q2"</f>
        <v>2017 Q2</v>
      </c>
      <c r="J100" t="str">
        <f>"2017 Q1"</f>
        <v>2017 Q1</v>
      </c>
      <c r="K100" t="str">
        <f>"2016 Q4"</f>
        <v>2016 Q4</v>
      </c>
      <c r="L100" t="str">
        <f>"2016 Q3"</f>
        <v>2016 Q3</v>
      </c>
      <c r="M100" t="str">
        <f>"2016 Q2"</f>
        <v>2016 Q2</v>
      </c>
      <c r="N100" t="str">
        <f>"2016 Q1"</f>
        <v>2016 Q1</v>
      </c>
      <c r="O100" t="str">
        <f>"2015 Q4"</f>
        <v>2015 Q4</v>
      </c>
      <c r="P100" t="str">
        <f>"2015 Q3"</f>
        <v>2015 Q3</v>
      </c>
      <c r="Q100" t="str">
        <f>"2015 Q2"</f>
        <v>2015 Q2</v>
      </c>
      <c r="R100" t="str">
        <f>"2015 Q1"</f>
        <v>2015 Q1</v>
      </c>
      <c r="S100" t="str">
        <f>"2014 Q4"</f>
        <v>2014 Q4</v>
      </c>
      <c r="T100" t="str">
        <f>"2014 Q3"</f>
        <v>2014 Q3</v>
      </c>
      <c r="U100" t="str">
        <f>"2014 Q2"</f>
        <v>2014 Q2</v>
      </c>
      <c r="V100" t="str">
        <f>"2014 Q1"</f>
        <v>2014 Q1</v>
      </c>
      <c r="W100" t="str">
        <f>"2013 Q4"</f>
        <v>2013 Q4</v>
      </c>
      <c r="X100" t="str">
        <f>"2013 Q3"</f>
        <v>2013 Q3</v>
      </c>
      <c r="Y100" t="str">
        <f>"2013 Q2"</f>
        <v>2013 Q2</v>
      </c>
      <c r="Z100" t="str">
        <f>"2013 Q1"</f>
        <v>2013 Q1</v>
      </c>
      <c r="AA100" t="str">
        <f>"2012 Q4"</f>
        <v>2012 Q4</v>
      </c>
      <c r="AB100" t="str">
        <f>"2012 Q3"</f>
        <v>2012 Q3</v>
      </c>
      <c r="AC100" t="str">
        <f>"2012 Q2"</f>
        <v>2012 Q2</v>
      </c>
      <c r="AD100" t="str">
        <f>"2012 Q1"</f>
        <v>2012 Q1</v>
      </c>
      <c r="AE100" t="str">
        <f>"2011 Q4"</f>
        <v>2011 Q4</v>
      </c>
      <c r="AF100" t="str">
        <f>"2011 Q3"</f>
        <v>2011 Q3</v>
      </c>
      <c r="AG100" t="str">
        <f>"2011 Q2"</f>
        <v>2011 Q2</v>
      </c>
      <c r="AH100" t="str">
        <f>"2011 Q1"</f>
        <v>2011 Q1</v>
      </c>
      <c r="AI100" t="str">
        <f>"2010 Q4"</f>
        <v>2010 Q4</v>
      </c>
      <c r="AJ100" t="str">
        <f>"2010 Q3"</f>
        <v>2010 Q3</v>
      </c>
      <c r="AK100" t="str">
        <f>"2010 Q2"</f>
        <v>2010 Q2</v>
      </c>
      <c r="AL100" t="str">
        <f>"2010 Q1"</f>
        <v>2010 Q1</v>
      </c>
      <c r="AM100" t="str">
        <f>"2009 Q4"</f>
        <v>2009 Q4</v>
      </c>
      <c r="AN100" t="str">
        <f>"2009 Q3"</f>
        <v>2009 Q3</v>
      </c>
      <c r="AO100" t="str">
        <f>"2009 Q2"</f>
        <v>2009 Q2</v>
      </c>
      <c r="AP100" t="str">
        <f>"2009 Q1"</f>
        <v>2009 Q1</v>
      </c>
      <c r="AQ100" t="str">
        <f>"2008 Q4"</f>
        <v>2008 Q4</v>
      </c>
      <c r="AR100" t="str">
        <f>"2008 Q3"</f>
        <v>2008 Q3</v>
      </c>
      <c r="AS100" t="str">
        <f>"2008 Q2"</f>
        <v>2008 Q2</v>
      </c>
      <c r="AT100" t="str">
        <f>"2008 Q1"</f>
        <v>2008 Q1</v>
      </c>
      <c r="AU100" t="str">
        <f>"2007 Q4"</f>
        <v>2007 Q4</v>
      </c>
      <c r="AV100" t="str">
        <f>"2007 Q3"</f>
        <v>2007 Q3</v>
      </c>
      <c r="AW100" t="str">
        <f>"2007 Q2"</f>
        <v>2007 Q2</v>
      </c>
      <c r="AX100" t="str">
        <f>"2007 Q1"</f>
        <v>2007 Q1</v>
      </c>
      <c r="AY100" t="str">
        <f>"2006 Q4"</f>
        <v>2006 Q4</v>
      </c>
      <c r="AZ100" t="str">
        <f>"2006 Q3"</f>
        <v>2006 Q3</v>
      </c>
      <c r="BA100" t="str">
        <f>"2006 Q2"</f>
        <v>2006 Q2</v>
      </c>
      <c r="BB100" t="str">
        <f>"2006 Q1"</f>
        <v>2006 Q1</v>
      </c>
      <c r="BC100" t="str">
        <f>"2005 Q4"</f>
        <v>2005 Q4</v>
      </c>
      <c r="BD100" t="str">
        <f>"2005 Q3"</f>
        <v>2005 Q3</v>
      </c>
      <c r="BE100" t="str">
        <f>"2005 Q2"</f>
        <v>2005 Q2</v>
      </c>
      <c r="BF100" t="str">
        <f>"2005 Q1"</f>
        <v>2005 Q1</v>
      </c>
      <c r="BG100" t="str">
        <f>"2004 Q4"</f>
        <v>2004 Q4</v>
      </c>
      <c r="BH100" t="str">
        <f>"2004 Q3"</f>
        <v>2004 Q3</v>
      </c>
      <c r="BI100" t="str">
        <f>"2004 Q2"</f>
        <v>2004 Q2</v>
      </c>
      <c r="BM100" t="str">
        <f>""</f>
        <v/>
      </c>
      <c r="BN100" t="str">
        <f>""</f>
        <v/>
      </c>
      <c r="BO100" t="str">
        <f>""</f>
        <v/>
      </c>
      <c r="BP100" t="str">
        <f>""</f>
        <v/>
      </c>
      <c r="BQ100" t="str">
        <f>""</f>
        <v/>
      </c>
      <c r="BR100" t="str">
        <f>""</f>
        <v/>
      </c>
      <c r="BS100" t="str">
        <f>""</f>
        <v/>
      </c>
      <c r="BT100" t="str">
        <f>""</f>
        <v/>
      </c>
      <c r="BU100" t="str">
        <f>""</f>
        <v/>
      </c>
      <c r="BV100" t="str">
        <f>""</f>
        <v/>
      </c>
      <c r="BW100" t="str">
        <f>""</f>
        <v/>
      </c>
      <c r="BX100" t="str">
        <f>""</f>
        <v/>
      </c>
      <c r="BY100" t="str">
        <f>""</f>
        <v/>
      </c>
      <c r="BZ100" t="str">
        <f>""</f>
        <v/>
      </c>
      <c r="CA100" t="str">
        <f>""</f>
        <v/>
      </c>
      <c r="CB100" t="str">
        <f>""</f>
        <v/>
      </c>
      <c r="CC100" t="str">
        <f>""</f>
        <v/>
      </c>
      <c r="CD100" t="str">
        <f>""</f>
        <v/>
      </c>
      <c r="CE100" t="str">
        <f>""</f>
        <v/>
      </c>
      <c r="CF100" t="str">
        <f>""</f>
        <v/>
      </c>
      <c r="CG100" t="str">
        <f>""</f>
        <v/>
      </c>
      <c r="CH100" t="str">
        <f>""</f>
        <v/>
      </c>
      <c r="CI100" t="str">
        <f>""</f>
        <v/>
      </c>
      <c r="CJ100" t="str">
        <f>""</f>
        <v/>
      </c>
      <c r="CK100" t="str">
        <f>""</f>
        <v/>
      </c>
      <c r="CL100" t="str">
        <f>""</f>
        <v/>
      </c>
      <c r="CM100" t="str">
        <f>""</f>
        <v/>
      </c>
      <c r="CN100" t="str">
        <f>""</f>
        <v/>
      </c>
      <c r="CO100" t="str">
        <f>""</f>
        <v/>
      </c>
      <c r="CP100" t="str">
        <f>""</f>
        <v/>
      </c>
      <c r="CQ100" t="str">
        <f>""</f>
        <v/>
      </c>
      <c r="CR100" t="str">
        <f>""</f>
        <v/>
      </c>
      <c r="CS100" t="str">
        <f>""</f>
        <v/>
      </c>
      <c r="CT100" t="str">
        <f>""</f>
        <v/>
      </c>
      <c r="CU100" t="str">
        <f>""</f>
        <v/>
      </c>
      <c r="CV100" t="str">
        <f>""</f>
        <v/>
      </c>
      <c r="CW100" t="str">
        <f>""</f>
        <v/>
      </c>
      <c r="CX100" t="str">
        <f>""</f>
        <v/>
      </c>
      <c r="CY100" t="str">
        <f>""</f>
        <v/>
      </c>
      <c r="CZ100" t="str">
        <f>""</f>
        <v/>
      </c>
      <c r="DA100" t="str">
        <f>""</f>
        <v/>
      </c>
      <c r="DB100" t="str">
        <f>""</f>
        <v/>
      </c>
      <c r="DC100" t="str">
        <f>""</f>
        <v/>
      </c>
      <c r="DD100" t="str">
        <f>""</f>
        <v/>
      </c>
      <c r="DE100" t="str">
        <f>""</f>
        <v/>
      </c>
      <c r="DF100" t="str">
        <f>""</f>
        <v/>
      </c>
      <c r="DG100" t="str">
        <f>""</f>
        <v/>
      </c>
      <c r="DH100" t="str">
        <f>""</f>
        <v/>
      </c>
      <c r="DI100" t="str">
        <f>""</f>
        <v/>
      </c>
      <c r="DJ100" t="str">
        <f>""</f>
        <v/>
      </c>
      <c r="DK100" t="str">
        <f>""</f>
        <v/>
      </c>
      <c r="DL100" t="str">
        <f>""</f>
        <v/>
      </c>
      <c r="DM100" t="str">
        <f>""</f>
        <v/>
      </c>
      <c r="DN100" t="str">
        <f>""</f>
        <v/>
      </c>
      <c r="DO100" t="str">
        <f>""</f>
        <v/>
      </c>
      <c r="DP100" t="str">
        <f>""</f>
        <v/>
      </c>
      <c r="DQ100" t="str">
        <f>""</f>
        <v/>
      </c>
      <c r="DR100" t="str">
        <f>""</f>
        <v/>
      </c>
      <c r="DS100" t="str">
        <f>""</f>
        <v/>
      </c>
    </row>
    <row r="101" spans="1:123" x14ac:dyDescent="0.25">
      <c r="A101" t="str">
        <f>"BDH snapshot header0"</f>
        <v>BDH snapshot header0</v>
      </c>
      <c r="B101">
        <f>IF(OR(ISERROR($C$101),ISBLANK($C$101),ISNUMBER(SEARCH("N/A",$C$101) ),ISERROR($C$102),ISBLANK($C$102)),0,1)</f>
        <v>0</v>
      </c>
      <c r="C101" t="str">
        <f>_xll.BDH($B$3,$C$3,$B$51,$B$99,"PER=CQ","Dts=S","DtFmt=FI", "rows=2","Dir=H","Points=59","Sort=R","Days=A","Fill=B","FX=USD" )</f>
        <v>#N/A Connection</v>
      </c>
      <c r="BM101" t="str">
        <f>""</f>
        <v/>
      </c>
      <c r="BN101" t="str">
        <f>""</f>
        <v/>
      </c>
      <c r="BO101" t="str">
        <f>""</f>
        <v/>
      </c>
      <c r="BP101" t="str">
        <f>""</f>
        <v/>
      </c>
      <c r="BQ101" t="str">
        <f>""</f>
        <v/>
      </c>
      <c r="BR101" t="str">
        <f>""</f>
        <v/>
      </c>
      <c r="BS101" t="str">
        <f>""</f>
        <v/>
      </c>
      <c r="BT101" t="str">
        <f>""</f>
        <v/>
      </c>
      <c r="BU101" t="str">
        <f>""</f>
        <v/>
      </c>
      <c r="BV101" t="str">
        <f>""</f>
        <v/>
      </c>
      <c r="BW101" t="str">
        <f>""</f>
        <v/>
      </c>
      <c r="BX101" t="str">
        <f>""</f>
        <v/>
      </c>
      <c r="BY101" t="str">
        <f>""</f>
        <v/>
      </c>
      <c r="BZ101" t="str">
        <f>""</f>
        <v/>
      </c>
      <c r="CA101" t="str">
        <f>""</f>
        <v/>
      </c>
      <c r="CB101" t="str">
        <f>""</f>
        <v/>
      </c>
      <c r="CC101" t="str">
        <f>""</f>
        <v/>
      </c>
      <c r="CD101" t="str">
        <f>""</f>
        <v/>
      </c>
      <c r="CE101" t="str">
        <f>""</f>
        <v/>
      </c>
      <c r="CF101" t="str">
        <f>""</f>
        <v/>
      </c>
      <c r="CG101" t="str">
        <f>""</f>
        <v/>
      </c>
      <c r="CH101" t="str">
        <f>""</f>
        <v/>
      </c>
      <c r="CI101" t="str">
        <f>""</f>
        <v/>
      </c>
      <c r="CJ101" t="str">
        <f>""</f>
        <v/>
      </c>
      <c r="CK101" t="str">
        <f>""</f>
        <v/>
      </c>
      <c r="CL101" t="str">
        <f>""</f>
        <v/>
      </c>
      <c r="CM101" t="str">
        <f>""</f>
        <v/>
      </c>
      <c r="CN101" t="str">
        <f>""</f>
        <v/>
      </c>
      <c r="CO101" t="str">
        <f>""</f>
        <v/>
      </c>
      <c r="CP101" t="str">
        <f>""</f>
        <v/>
      </c>
      <c r="CQ101" t="str">
        <f>""</f>
        <v/>
      </c>
      <c r="CR101" t="str">
        <f>""</f>
        <v/>
      </c>
      <c r="CS101" t="str">
        <f>""</f>
        <v/>
      </c>
      <c r="CT101" t="str">
        <f>""</f>
        <v/>
      </c>
      <c r="CU101" t="str">
        <f>""</f>
        <v/>
      </c>
      <c r="CV101" t="str">
        <f>""</f>
        <v/>
      </c>
      <c r="CW101" t="str">
        <f>""</f>
        <v/>
      </c>
      <c r="CX101" t="str">
        <f>""</f>
        <v/>
      </c>
      <c r="CY101" t="str">
        <f>""</f>
        <v/>
      </c>
      <c r="CZ101" t="str">
        <f>""</f>
        <v/>
      </c>
      <c r="DA101" t="str">
        <f>""</f>
        <v/>
      </c>
      <c r="DB101" t="str">
        <f>""</f>
        <v/>
      </c>
      <c r="DC101" t="str">
        <f>""</f>
        <v/>
      </c>
      <c r="DD101" t="str">
        <f>""</f>
        <v/>
      </c>
      <c r="DE101" t="str">
        <f>""</f>
        <v/>
      </c>
      <c r="DF101" t="str">
        <f>""</f>
        <v/>
      </c>
      <c r="DG101" t="str">
        <f>""</f>
        <v/>
      </c>
      <c r="DH101" t="str">
        <f>""</f>
        <v/>
      </c>
      <c r="DI101" t="str">
        <f>""</f>
        <v/>
      </c>
      <c r="DJ101" t="str">
        <f>""</f>
        <v/>
      </c>
      <c r="DK101" t="str">
        <f>""</f>
        <v/>
      </c>
      <c r="DL101" t="str">
        <f>""</f>
        <v/>
      </c>
      <c r="DM101" t="str">
        <f>""</f>
        <v/>
      </c>
      <c r="DN101" t="str">
        <f>""</f>
        <v/>
      </c>
      <c r="DO101" t="str">
        <f>""</f>
        <v/>
      </c>
      <c r="DP101" t="str">
        <f>""</f>
        <v/>
      </c>
      <c r="DQ101" t="str">
        <f>""</f>
        <v/>
      </c>
      <c r="DR101" t="str">
        <f>""</f>
        <v/>
      </c>
      <c r="DS101" t="str">
        <f>""</f>
        <v/>
      </c>
    </row>
    <row r="102" spans="1:123" x14ac:dyDescent="0.25">
      <c r="A102" t="str">
        <f>"BDH snapshot result0"</f>
        <v>BDH snapshot result0</v>
      </c>
      <c r="BM102" t="str">
        <f>""</f>
        <v/>
      </c>
      <c r="BN102" t="str">
        <f>""</f>
        <v/>
      </c>
      <c r="BO102" t="str">
        <f>""</f>
        <v/>
      </c>
      <c r="BP102" t="str">
        <f>""</f>
        <v/>
      </c>
      <c r="BQ102" t="str">
        <f>""</f>
        <v/>
      </c>
      <c r="BR102" t="str">
        <f>""</f>
        <v/>
      </c>
      <c r="BS102" t="str">
        <f>""</f>
        <v/>
      </c>
      <c r="BT102" t="str">
        <f>""</f>
        <v/>
      </c>
      <c r="BU102" t="str">
        <f>""</f>
        <v/>
      </c>
      <c r="BV102" t="str">
        <f>""</f>
        <v/>
      </c>
      <c r="BW102" t="str">
        <f>""</f>
        <v/>
      </c>
      <c r="BX102" t="str">
        <f>""</f>
        <v/>
      </c>
      <c r="BY102" t="str">
        <f>""</f>
        <v/>
      </c>
      <c r="BZ102" t="str">
        <f>""</f>
        <v/>
      </c>
      <c r="CA102" t="str">
        <f>""</f>
        <v/>
      </c>
      <c r="CB102" t="str">
        <f>""</f>
        <v/>
      </c>
      <c r="CC102" t="str">
        <f>""</f>
        <v/>
      </c>
      <c r="CD102" t="str">
        <f>""</f>
        <v/>
      </c>
      <c r="CE102" t="str">
        <f>""</f>
        <v/>
      </c>
      <c r="CF102" t="str">
        <f>""</f>
        <v/>
      </c>
      <c r="CG102" t="str">
        <f>""</f>
        <v/>
      </c>
      <c r="CH102" t="str">
        <f>""</f>
        <v/>
      </c>
      <c r="CI102" t="str">
        <f>""</f>
        <v/>
      </c>
      <c r="CJ102" t="str">
        <f>""</f>
        <v/>
      </c>
      <c r="CK102" t="str">
        <f>""</f>
        <v/>
      </c>
      <c r="CL102" t="str">
        <f>""</f>
        <v/>
      </c>
      <c r="CM102" t="str">
        <f>""</f>
        <v/>
      </c>
      <c r="CN102" t="str">
        <f>""</f>
        <v/>
      </c>
      <c r="CO102" t="str">
        <f>""</f>
        <v/>
      </c>
      <c r="CP102" t="str">
        <f>""</f>
        <v/>
      </c>
      <c r="CQ102" t="str">
        <f>""</f>
        <v/>
      </c>
      <c r="CR102" t="str">
        <f>""</f>
        <v/>
      </c>
      <c r="CS102" t="str">
        <f>""</f>
        <v/>
      </c>
      <c r="CT102" t="str">
        <f>""</f>
        <v/>
      </c>
      <c r="CU102" t="str">
        <f>""</f>
        <v/>
      </c>
      <c r="CV102" t="str">
        <f>""</f>
        <v/>
      </c>
      <c r="CW102" t="str">
        <f>""</f>
        <v/>
      </c>
      <c r="CX102" t="str">
        <f>""</f>
        <v/>
      </c>
      <c r="CY102" t="str">
        <f>""</f>
        <v/>
      </c>
      <c r="CZ102" t="str">
        <f>""</f>
        <v/>
      </c>
      <c r="DA102" t="str">
        <f>""</f>
        <v/>
      </c>
      <c r="DB102" t="str">
        <f>""</f>
        <v/>
      </c>
      <c r="DC102" t="str">
        <f>""</f>
        <v/>
      </c>
      <c r="DD102" t="str">
        <f>""</f>
        <v/>
      </c>
      <c r="DE102" t="str">
        <f>""</f>
        <v/>
      </c>
      <c r="DF102" t="str">
        <f>""</f>
        <v/>
      </c>
      <c r="DG102" t="str">
        <f>""</f>
        <v/>
      </c>
      <c r="DH102" t="str">
        <f>""</f>
        <v/>
      </c>
      <c r="DI102" t="str">
        <f>""</f>
        <v/>
      </c>
      <c r="DJ102" t="str">
        <f>""</f>
        <v/>
      </c>
      <c r="DK102" t="str">
        <f>""</f>
        <v/>
      </c>
      <c r="DL102" t="str">
        <f>""</f>
        <v/>
      </c>
      <c r="DM102" t="str">
        <f>""</f>
        <v/>
      </c>
      <c r="DN102" t="str">
        <f>""</f>
        <v/>
      </c>
      <c r="DO102" t="str">
        <f>""</f>
        <v/>
      </c>
      <c r="DP102" t="str">
        <f>""</f>
        <v/>
      </c>
      <c r="DQ102" t="str">
        <f>""</f>
        <v/>
      </c>
      <c r="DR102" t="str">
        <f>""</f>
        <v/>
      </c>
      <c r="DS102" t="str">
        <f>""</f>
        <v/>
      </c>
    </row>
    <row r="103" spans="1:123" x14ac:dyDescent="0.25">
      <c r="A103" t="str">
        <f>"BDH snapshot header1"</f>
        <v>BDH snapshot header1</v>
      </c>
      <c r="B103">
        <f>IF(OR(ISERROR($C$103),ISBLANK($C$103),ISNUMBER(SEARCH("N/A",$C$103) ),ISERROR($C$104),ISBLANK($C$104)),0,1)</f>
        <v>0</v>
      </c>
      <c r="C103" t="str">
        <f>_xll.BDH($B$4,$C$4,$B$51,$B$99,"PER=CQ","Dts=S","DtFmt=FI", "rows=2","Dir=H","Points=59","Sort=R","Days=A","Fill=B","DZ666=001","X0001=NA00","DZ667=1","DS276=Y","FX=USD" )</f>
        <v>#N/A Connection</v>
      </c>
      <c r="BM103" t="str">
        <f>""</f>
        <v/>
      </c>
      <c r="BN103" t="str">
        <f>""</f>
        <v/>
      </c>
      <c r="BO103" t="str">
        <f>""</f>
        <v/>
      </c>
      <c r="BP103" t="str">
        <f>""</f>
        <v/>
      </c>
      <c r="BQ103" t="str">
        <f>""</f>
        <v/>
      </c>
      <c r="BR103" t="str">
        <f>""</f>
        <v/>
      </c>
      <c r="BS103" t="str">
        <f>""</f>
        <v/>
      </c>
      <c r="BT103" t="str">
        <f>""</f>
        <v/>
      </c>
      <c r="BU103" t="str">
        <f>""</f>
        <v/>
      </c>
      <c r="BV103" t="str">
        <f>""</f>
        <v/>
      </c>
      <c r="BW103" t="str">
        <f>""</f>
        <v/>
      </c>
      <c r="BX103" t="str">
        <f>""</f>
        <v/>
      </c>
      <c r="BY103" t="str">
        <f>""</f>
        <v/>
      </c>
      <c r="BZ103" t="str">
        <f>""</f>
        <v/>
      </c>
      <c r="CA103" t="str">
        <f>""</f>
        <v/>
      </c>
      <c r="CB103" t="str">
        <f>""</f>
        <v/>
      </c>
      <c r="CC103" t="str">
        <f>""</f>
        <v/>
      </c>
      <c r="CD103" t="str">
        <f>""</f>
        <v/>
      </c>
      <c r="CE103" t="str">
        <f>""</f>
        <v/>
      </c>
      <c r="CF103" t="str">
        <f>""</f>
        <v/>
      </c>
      <c r="CG103" t="str">
        <f>""</f>
        <v/>
      </c>
      <c r="CH103" t="str">
        <f>""</f>
        <v/>
      </c>
      <c r="CI103" t="str">
        <f>""</f>
        <v/>
      </c>
      <c r="CJ103" t="str">
        <f>""</f>
        <v/>
      </c>
      <c r="CK103" t="str">
        <f>""</f>
        <v/>
      </c>
      <c r="CL103" t="str">
        <f>""</f>
        <v/>
      </c>
      <c r="CM103" t="str">
        <f>""</f>
        <v/>
      </c>
      <c r="CN103" t="str">
        <f>""</f>
        <v/>
      </c>
      <c r="CO103" t="str">
        <f>""</f>
        <v/>
      </c>
      <c r="CP103" t="str">
        <f>""</f>
        <v/>
      </c>
      <c r="CQ103" t="str">
        <f>""</f>
        <v/>
      </c>
      <c r="CR103" t="str">
        <f>""</f>
        <v/>
      </c>
      <c r="CS103" t="str">
        <f>""</f>
        <v/>
      </c>
      <c r="CT103" t="str">
        <f>""</f>
        <v/>
      </c>
      <c r="CU103" t="str">
        <f>""</f>
        <v/>
      </c>
      <c r="CV103" t="str">
        <f>""</f>
        <v/>
      </c>
      <c r="CW103" t="str">
        <f>""</f>
        <v/>
      </c>
      <c r="CX103" t="str">
        <f>""</f>
        <v/>
      </c>
      <c r="CY103" t="str">
        <f>""</f>
        <v/>
      </c>
      <c r="CZ103" t="str">
        <f>""</f>
        <v/>
      </c>
      <c r="DA103" t="str">
        <f>""</f>
        <v/>
      </c>
      <c r="DB103" t="str">
        <f>""</f>
        <v/>
      </c>
      <c r="DC103" t="str">
        <f>""</f>
        <v/>
      </c>
      <c r="DD103" t="str">
        <f>""</f>
        <v/>
      </c>
      <c r="DE103" t="str">
        <f>""</f>
        <v/>
      </c>
      <c r="DF103" t="str">
        <f>""</f>
        <v/>
      </c>
      <c r="DG103" t="str">
        <f>""</f>
        <v/>
      </c>
      <c r="DH103" t="str">
        <f>""</f>
        <v/>
      </c>
      <c r="DI103" t="str">
        <f>""</f>
        <v/>
      </c>
      <c r="DJ103" t="str">
        <f>""</f>
        <v/>
      </c>
      <c r="DK103" t="str">
        <f>""</f>
        <v/>
      </c>
      <c r="DL103" t="str">
        <f>""</f>
        <v/>
      </c>
      <c r="DM103" t="str">
        <f>""</f>
        <v/>
      </c>
      <c r="DN103" t="str">
        <f>""</f>
        <v/>
      </c>
      <c r="DO103" t="str">
        <f>""</f>
        <v/>
      </c>
      <c r="DP103" t="str">
        <f>""</f>
        <v/>
      </c>
      <c r="DQ103" t="str">
        <f>""</f>
        <v/>
      </c>
      <c r="DR103" t="str">
        <f>""</f>
        <v/>
      </c>
      <c r="DS103" t="str">
        <f>""</f>
        <v/>
      </c>
    </row>
    <row r="104" spans="1:123" x14ac:dyDescent="0.25">
      <c r="A104" t="str">
        <f>"BDH snapshot result1"</f>
        <v>BDH snapshot result1</v>
      </c>
      <c r="BM104" t="str">
        <f>""</f>
        <v/>
      </c>
      <c r="BN104" t="str">
        <f>""</f>
        <v/>
      </c>
      <c r="BO104" t="str">
        <f>""</f>
        <v/>
      </c>
      <c r="BP104" t="str">
        <f>""</f>
        <v/>
      </c>
      <c r="BQ104" t="str">
        <f>""</f>
        <v/>
      </c>
      <c r="BR104" t="str">
        <f>""</f>
        <v/>
      </c>
      <c r="BS104" t="str">
        <f>""</f>
        <v/>
      </c>
      <c r="BT104" t="str">
        <f>""</f>
        <v/>
      </c>
      <c r="BU104" t="str">
        <f>""</f>
        <v/>
      </c>
      <c r="BV104" t="str">
        <f>""</f>
        <v/>
      </c>
      <c r="BW104" t="str">
        <f>""</f>
        <v/>
      </c>
      <c r="BX104" t="str">
        <f>""</f>
        <v/>
      </c>
      <c r="BY104" t="str">
        <f>""</f>
        <v/>
      </c>
      <c r="BZ104" t="str">
        <f>""</f>
        <v/>
      </c>
      <c r="CA104" t="str">
        <f>""</f>
        <v/>
      </c>
      <c r="CB104" t="str">
        <f>""</f>
        <v/>
      </c>
      <c r="CC104" t="str">
        <f>""</f>
        <v/>
      </c>
      <c r="CD104" t="str">
        <f>""</f>
        <v/>
      </c>
      <c r="CE104" t="str">
        <f>""</f>
        <v/>
      </c>
      <c r="CF104" t="str">
        <f>""</f>
        <v/>
      </c>
      <c r="CG104" t="str">
        <f>""</f>
        <v/>
      </c>
      <c r="CH104" t="str">
        <f>""</f>
        <v/>
      </c>
      <c r="CI104" t="str">
        <f>""</f>
        <v/>
      </c>
      <c r="CJ104" t="str">
        <f>""</f>
        <v/>
      </c>
      <c r="CK104" t="str">
        <f>""</f>
        <v/>
      </c>
      <c r="CL104" t="str">
        <f>""</f>
        <v/>
      </c>
      <c r="CM104" t="str">
        <f>""</f>
        <v/>
      </c>
      <c r="CN104" t="str">
        <f>""</f>
        <v/>
      </c>
      <c r="CO104" t="str">
        <f>""</f>
        <v/>
      </c>
      <c r="CP104" t="str">
        <f>""</f>
        <v/>
      </c>
      <c r="CQ104" t="str">
        <f>""</f>
        <v/>
      </c>
      <c r="CR104" t="str">
        <f>""</f>
        <v/>
      </c>
      <c r="CS104" t="str">
        <f>""</f>
        <v/>
      </c>
      <c r="CT104" t="str">
        <f>""</f>
        <v/>
      </c>
      <c r="CU104" t="str">
        <f>""</f>
        <v/>
      </c>
      <c r="CV104" t="str">
        <f>""</f>
        <v/>
      </c>
      <c r="CW104" t="str">
        <f>""</f>
        <v/>
      </c>
      <c r="CX104" t="str">
        <f>""</f>
        <v/>
      </c>
      <c r="CY104" t="str">
        <f>""</f>
        <v/>
      </c>
      <c r="CZ104" t="str">
        <f>""</f>
        <v/>
      </c>
      <c r="DA104" t="str">
        <f>""</f>
        <v/>
      </c>
      <c r="DB104" t="str">
        <f>""</f>
        <v/>
      </c>
      <c r="DC104" t="str">
        <f>""</f>
        <v/>
      </c>
      <c r="DD104" t="str">
        <f>""</f>
        <v/>
      </c>
      <c r="DE104" t="str">
        <f>""</f>
        <v/>
      </c>
      <c r="DF104" t="str">
        <f>""</f>
        <v/>
      </c>
      <c r="DG104" t="str">
        <f>""</f>
        <v/>
      </c>
      <c r="DH104" t="str">
        <f>""</f>
        <v/>
      </c>
      <c r="DI104" t="str">
        <f>""</f>
        <v/>
      </c>
      <c r="DJ104" t="str">
        <f>""</f>
        <v/>
      </c>
      <c r="DK104" t="str">
        <f>""</f>
        <v/>
      </c>
      <c r="DL104" t="str">
        <f>""</f>
        <v/>
      </c>
      <c r="DM104" t="str">
        <f>""</f>
        <v/>
      </c>
      <c r="DN104" t="str">
        <f>""</f>
        <v/>
      </c>
      <c r="DO104" t="str">
        <f>""</f>
        <v/>
      </c>
      <c r="DP104" t="str">
        <f>""</f>
        <v/>
      </c>
      <c r="DQ104" t="str">
        <f>""</f>
        <v/>
      </c>
      <c r="DR104" t="str">
        <f>""</f>
        <v/>
      </c>
      <c r="DS104" t="str">
        <f>""</f>
        <v/>
      </c>
    </row>
    <row r="105" spans="1:123" x14ac:dyDescent="0.25">
      <c r="A105" t="str">
        <f>"BDH snapshot header2"</f>
        <v>BDH snapshot header2</v>
      </c>
      <c r="B105">
        <f>IF(OR(ISERROR($C$105),ISBLANK($C$105),ISNUMBER(SEARCH("N/A",$C$105) ),ISERROR($C$106),ISBLANK($C$106)),0,1)</f>
        <v>0</v>
      </c>
      <c r="C105" t="str">
        <f>_xll.BDH($B$5,$C$5,$B$51,$B$99,"PER=CQ","Dts=S","DtFmt=FI", "rows=2","Dir=H","Points=59","Sort=R","Days=A","Fill=B","FX=USD" )</f>
        <v>#N/A Connection</v>
      </c>
      <c r="BM105" t="str">
        <f>""</f>
        <v/>
      </c>
      <c r="BN105" t="str">
        <f>""</f>
        <v/>
      </c>
      <c r="BO105" t="str">
        <f>""</f>
        <v/>
      </c>
      <c r="BP105" t="str">
        <f>""</f>
        <v/>
      </c>
      <c r="BQ105" t="str">
        <f>""</f>
        <v/>
      </c>
      <c r="BR105" t="str">
        <f>""</f>
        <v/>
      </c>
      <c r="BS105" t="str">
        <f>""</f>
        <v/>
      </c>
      <c r="BT105" t="str">
        <f>""</f>
        <v/>
      </c>
      <c r="BU105" t="str">
        <f>""</f>
        <v/>
      </c>
      <c r="BV105" t="str">
        <f>""</f>
        <v/>
      </c>
      <c r="BW105" t="str">
        <f>""</f>
        <v/>
      </c>
      <c r="BX105" t="str">
        <f>""</f>
        <v/>
      </c>
      <c r="BY105" t="str">
        <f>""</f>
        <v/>
      </c>
      <c r="BZ105" t="str">
        <f>""</f>
        <v/>
      </c>
      <c r="CA105" t="str">
        <f>""</f>
        <v/>
      </c>
      <c r="CB105" t="str">
        <f>""</f>
        <v/>
      </c>
      <c r="CC105" t="str">
        <f>""</f>
        <v/>
      </c>
      <c r="CD105" t="str">
        <f>""</f>
        <v/>
      </c>
      <c r="CE105" t="str">
        <f>""</f>
        <v/>
      </c>
      <c r="CF105" t="str">
        <f>""</f>
        <v/>
      </c>
      <c r="CG105" t="str">
        <f>""</f>
        <v/>
      </c>
      <c r="CH105" t="str">
        <f>""</f>
        <v/>
      </c>
      <c r="CI105" t="str">
        <f>""</f>
        <v/>
      </c>
      <c r="CJ105" t="str">
        <f>""</f>
        <v/>
      </c>
      <c r="CK105" t="str">
        <f>""</f>
        <v/>
      </c>
      <c r="CL105" t="str">
        <f>""</f>
        <v/>
      </c>
      <c r="CM105" t="str">
        <f>""</f>
        <v/>
      </c>
      <c r="CN105" t="str">
        <f>""</f>
        <v/>
      </c>
      <c r="CO105" t="str">
        <f>""</f>
        <v/>
      </c>
      <c r="CP105" t="str">
        <f>""</f>
        <v/>
      </c>
      <c r="CQ105" t="str">
        <f>""</f>
        <v/>
      </c>
      <c r="CR105" t="str">
        <f>""</f>
        <v/>
      </c>
      <c r="CS105" t="str">
        <f>""</f>
        <v/>
      </c>
      <c r="CT105" t="str">
        <f>""</f>
        <v/>
      </c>
      <c r="CU105" t="str">
        <f>""</f>
        <v/>
      </c>
      <c r="CV105" t="str">
        <f>""</f>
        <v/>
      </c>
      <c r="CW105" t="str">
        <f>""</f>
        <v/>
      </c>
      <c r="CX105" t="str">
        <f>""</f>
        <v/>
      </c>
      <c r="CY105" t="str">
        <f>""</f>
        <v/>
      </c>
      <c r="CZ105" t="str">
        <f>""</f>
        <v/>
      </c>
      <c r="DA105" t="str">
        <f>""</f>
        <v/>
      </c>
      <c r="DB105" t="str">
        <f>""</f>
        <v/>
      </c>
      <c r="DC105" t="str">
        <f>""</f>
        <v/>
      </c>
      <c r="DD105" t="str">
        <f>""</f>
        <v/>
      </c>
      <c r="DE105" t="str">
        <f>""</f>
        <v/>
      </c>
      <c r="DF105" t="str">
        <f>""</f>
        <v/>
      </c>
      <c r="DG105" t="str">
        <f>""</f>
        <v/>
      </c>
      <c r="DH105" t="str">
        <f>""</f>
        <v/>
      </c>
      <c r="DI105" t="str">
        <f>""</f>
        <v/>
      </c>
      <c r="DJ105" t="str">
        <f>""</f>
        <v/>
      </c>
      <c r="DK105" t="str">
        <f>""</f>
        <v/>
      </c>
      <c r="DL105" t="str">
        <f>""</f>
        <v/>
      </c>
      <c r="DM105" t="str">
        <f>""</f>
        <v/>
      </c>
      <c r="DN105" t="str">
        <f>""</f>
        <v/>
      </c>
      <c r="DO105" t="str">
        <f>""</f>
        <v/>
      </c>
      <c r="DP105" t="str">
        <f>""</f>
        <v/>
      </c>
      <c r="DQ105" t="str">
        <f>""</f>
        <v/>
      </c>
      <c r="DR105" t="str">
        <f>""</f>
        <v/>
      </c>
      <c r="DS105" t="str">
        <f>""</f>
        <v/>
      </c>
    </row>
    <row r="106" spans="1:123" x14ac:dyDescent="0.25">
      <c r="A106" t="str">
        <f>"BDH snapshot result2"</f>
        <v>BDH snapshot result2</v>
      </c>
      <c r="BM106" t="str">
        <f>""</f>
        <v/>
      </c>
      <c r="BN106" t="str">
        <f>""</f>
        <v/>
      </c>
      <c r="BO106" t="str">
        <f>""</f>
        <v/>
      </c>
      <c r="BP106" t="str">
        <f>""</f>
        <v/>
      </c>
      <c r="BQ106" t="str">
        <f>""</f>
        <v/>
      </c>
      <c r="BR106" t="str">
        <f>""</f>
        <v/>
      </c>
      <c r="BS106" t="str">
        <f>""</f>
        <v/>
      </c>
      <c r="BT106" t="str">
        <f>""</f>
        <v/>
      </c>
      <c r="BU106" t="str">
        <f>""</f>
        <v/>
      </c>
      <c r="BV106" t="str">
        <f>""</f>
        <v/>
      </c>
      <c r="BW106" t="str">
        <f>""</f>
        <v/>
      </c>
      <c r="BX106" t="str">
        <f>""</f>
        <v/>
      </c>
      <c r="BY106" t="str">
        <f>""</f>
        <v/>
      </c>
      <c r="BZ106" t="str">
        <f>""</f>
        <v/>
      </c>
      <c r="CA106" t="str">
        <f>""</f>
        <v/>
      </c>
      <c r="CB106" t="str">
        <f>""</f>
        <v/>
      </c>
      <c r="CC106" t="str">
        <f>""</f>
        <v/>
      </c>
      <c r="CD106" t="str">
        <f>""</f>
        <v/>
      </c>
      <c r="CE106" t="str">
        <f>""</f>
        <v/>
      </c>
      <c r="CF106" t="str">
        <f>""</f>
        <v/>
      </c>
      <c r="CG106" t="str">
        <f>""</f>
        <v/>
      </c>
      <c r="CH106" t="str">
        <f>""</f>
        <v/>
      </c>
      <c r="CI106" t="str">
        <f>""</f>
        <v/>
      </c>
      <c r="CJ106" t="str">
        <f>""</f>
        <v/>
      </c>
      <c r="CK106" t="str">
        <f>""</f>
        <v/>
      </c>
      <c r="CL106" t="str">
        <f>""</f>
        <v/>
      </c>
      <c r="CM106" t="str">
        <f>""</f>
        <v/>
      </c>
      <c r="CN106" t="str">
        <f>""</f>
        <v/>
      </c>
      <c r="CO106" t="str">
        <f>""</f>
        <v/>
      </c>
      <c r="CP106" t="str">
        <f>""</f>
        <v/>
      </c>
      <c r="CQ106" t="str">
        <f>""</f>
        <v/>
      </c>
      <c r="CR106" t="str">
        <f>""</f>
        <v/>
      </c>
      <c r="CS106" t="str">
        <f>""</f>
        <v/>
      </c>
      <c r="CT106" t="str">
        <f>""</f>
        <v/>
      </c>
      <c r="CU106" t="str">
        <f>""</f>
        <v/>
      </c>
      <c r="CV106" t="str">
        <f>""</f>
        <v/>
      </c>
      <c r="CW106" t="str">
        <f>""</f>
        <v/>
      </c>
      <c r="CX106" t="str">
        <f>""</f>
        <v/>
      </c>
      <c r="CY106" t="str">
        <f>""</f>
        <v/>
      </c>
      <c r="CZ106" t="str">
        <f>""</f>
        <v/>
      </c>
      <c r="DA106" t="str">
        <f>""</f>
        <v/>
      </c>
      <c r="DB106" t="str">
        <f>""</f>
        <v/>
      </c>
      <c r="DC106" t="str">
        <f>""</f>
        <v/>
      </c>
      <c r="DD106" t="str">
        <f>""</f>
        <v/>
      </c>
      <c r="DE106" t="str">
        <f>""</f>
        <v/>
      </c>
      <c r="DF106" t="str">
        <f>""</f>
        <v/>
      </c>
      <c r="DG106" t="str">
        <f>""</f>
        <v/>
      </c>
      <c r="DH106" t="str">
        <f>""</f>
        <v/>
      </c>
      <c r="DI106" t="str">
        <f>""</f>
        <v/>
      </c>
      <c r="DJ106" t="str">
        <f>""</f>
        <v/>
      </c>
      <c r="DK106" t="str">
        <f>""</f>
        <v/>
      </c>
      <c r="DL106" t="str">
        <f>""</f>
        <v/>
      </c>
      <c r="DM106" t="str">
        <f>""</f>
        <v/>
      </c>
      <c r="DN106" t="str">
        <f>""</f>
        <v/>
      </c>
      <c r="DO106" t="str">
        <f>""</f>
        <v/>
      </c>
      <c r="DP106" t="str">
        <f>""</f>
        <v/>
      </c>
      <c r="DQ106" t="str">
        <f>""</f>
        <v/>
      </c>
      <c r="DR106" t="str">
        <f>""</f>
        <v/>
      </c>
      <c r="DS106" t="str">
        <f>""</f>
        <v/>
      </c>
    </row>
    <row r="107" spans="1:123" x14ac:dyDescent="0.25">
      <c r="A107" t="str">
        <f>"BDH snapshot"</f>
        <v>BDH snapshot</v>
      </c>
      <c r="B107">
        <f>IF($B$101&gt;=1,$B$101,IF($B$103&gt;=1,$B$103,IF($B$105&gt;=1,$B$105,$B$100)))</f>
        <v>2</v>
      </c>
      <c r="C107" t="str">
        <f>IF($B$101&gt;=1,$C$101,IF($B$103&gt;=1,$C$103,IF($B$105&gt;=1,$C$105,$C$100)))</f>
        <v>2018 Q4</v>
      </c>
      <c r="D107" t="str">
        <f>IF($B$101&gt;=1,$D$101,IF($B$103&gt;=1,$D$103,IF($B$105&gt;=1,$D$105,$D$100)))</f>
        <v>2018 Q3</v>
      </c>
      <c r="E107" t="str">
        <f>IF($B$101&gt;=1,$E$101,IF($B$103&gt;=1,$E$103,IF($B$105&gt;=1,$E$105,$E$100)))</f>
        <v>2018 Q2</v>
      </c>
      <c r="F107" t="str">
        <f>IF($B$101&gt;=1,$F$101,IF($B$103&gt;=1,$F$103,IF($B$105&gt;=1,$F$105,$F$100)))</f>
        <v>2018 Q1</v>
      </c>
      <c r="G107" t="str">
        <f>IF($B$101&gt;=1,$G$101,IF($B$103&gt;=1,$G$103,IF($B$105&gt;=1,$G$105,$G$100)))</f>
        <v>2017 Q4</v>
      </c>
      <c r="H107" t="str">
        <f>IF($B$101&gt;=1,$H$101,IF($B$103&gt;=1,$H$103,IF($B$105&gt;=1,$H$105,$H$100)))</f>
        <v>2017 Q3</v>
      </c>
      <c r="I107" t="str">
        <f>IF($B$101&gt;=1,$I$101,IF($B$103&gt;=1,$I$103,IF($B$105&gt;=1,$I$105,$I$100)))</f>
        <v>2017 Q2</v>
      </c>
      <c r="J107" t="str">
        <f>IF($B$101&gt;=1,$J$101,IF($B$103&gt;=1,$J$103,IF($B$105&gt;=1,$J$105,$J$100)))</f>
        <v>2017 Q1</v>
      </c>
      <c r="K107" t="str">
        <f>IF($B$101&gt;=1,$K$101,IF($B$103&gt;=1,$K$103,IF($B$105&gt;=1,$K$105,$K$100)))</f>
        <v>2016 Q4</v>
      </c>
      <c r="L107" t="str">
        <f>IF($B$101&gt;=1,$L$101,IF($B$103&gt;=1,$L$103,IF($B$105&gt;=1,$L$105,$L$100)))</f>
        <v>2016 Q3</v>
      </c>
      <c r="M107" t="str">
        <f>IF($B$101&gt;=1,$M$101,IF($B$103&gt;=1,$M$103,IF($B$105&gt;=1,$M$105,$M$100)))</f>
        <v>2016 Q2</v>
      </c>
      <c r="N107" t="str">
        <f>IF($B$101&gt;=1,$N$101,IF($B$103&gt;=1,$N$103,IF($B$105&gt;=1,$N$105,$N$100)))</f>
        <v>2016 Q1</v>
      </c>
      <c r="O107" t="str">
        <f>IF($B$101&gt;=1,$O$101,IF($B$103&gt;=1,$O$103,IF($B$105&gt;=1,$O$105,$O$100)))</f>
        <v>2015 Q4</v>
      </c>
      <c r="P107" t="str">
        <f>IF($B$101&gt;=1,$P$101,IF($B$103&gt;=1,$P$103,IF($B$105&gt;=1,$P$105,$P$100)))</f>
        <v>2015 Q3</v>
      </c>
      <c r="Q107" t="str">
        <f>IF($B$101&gt;=1,$Q$101,IF($B$103&gt;=1,$Q$103,IF($B$105&gt;=1,$Q$105,$Q$100)))</f>
        <v>2015 Q2</v>
      </c>
      <c r="R107" t="str">
        <f>IF($B$101&gt;=1,$R$101,IF($B$103&gt;=1,$R$103,IF($B$105&gt;=1,$R$105,$R$100)))</f>
        <v>2015 Q1</v>
      </c>
      <c r="S107" t="str">
        <f>IF($B$101&gt;=1,$S$101,IF($B$103&gt;=1,$S$103,IF($B$105&gt;=1,$S$105,$S$100)))</f>
        <v>2014 Q4</v>
      </c>
      <c r="T107" t="str">
        <f>IF($B$101&gt;=1,$T$101,IF($B$103&gt;=1,$T$103,IF($B$105&gt;=1,$T$105,$T$100)))</f>
        <v>2014 Q3</v>
      </c>
      <c r="U107" t="str">
        <f>IF($B$101&gt;=1,$U$101,IF($B$103&gt;=1,$U$103,IF($B$105&gt;=1,$U$105,$U$100)))</f>
        <v>2014 Q2</v>
      </c>
      <c r="V107" t="str">
        <f>IF($B$101&gt;=1,$V$101,IF($B$103&gt;=1,$V$103,IF($B$105&gt;=1,$V$105,$V$100)))</f>
        <v>2014 Q1</v>
      </c>
      <c r="W107" t="str">
        <f>IF($B$101&gt;=1,$W$101,IF($B$103&gt;=1,$W$103,IF($B$105&gt;=1,$W$105,$W$100)))</f>
        <v>2013 Q4</v>
      </c>
      <c r="X107" t="str">
        <f>IF($B$101&gt;=1,$X$101,IF($B$103&gt;=1,$X$103,IF($B$105&gt;=1,$X$105,$X$100)))</f>
        <v>2013 Q3</v>
      </c>
      <c r="Y107" t="str">
        <f>IF($B$101&gt;=1,$Y$101,IF($B$103&gt;=1,$Y$103,IF($B$105&gt;=1,$Y$105,$Y$100)))</f>
        <v>2013 Q2</v>
      </c>
      <c r="Z107" t="str">
        <f>IF($B$101&gt;=1,$Z$101,IF($B$103&gt;=1,$Z$103,IF($B$105&gt;=1,$Z$105,$Z$100)))</f>
        <v>2013 Q1</v>
      </c>
      <c r="AA107" t="str">
        <f>IF($B$101&gt;=1,$AA$101,IF($B$103&gt;=1,$AA$103,IF($B$105&gt;=1,$AA$105,$AA$100)))</f>
        <v>2012 Q4</v>
      </c>
      <c r="AB107" t="str">
        <f>IF($B$101&gt;=1,$AB$101,IF($B$103&gt;=1,$AB$103,IF($B$105&gt;=1,$AB$105,$AB$100)))</f>
        <v>2012 Q3</v>
      </c>
      <c r="AC107" t="str">
        <f>IF($B$101&gt;=1,$AC$101,IF($B$103&gt;=1,$AC$103,IF($B$105&gt;=1,$AC$105,$AC$100)))</f>
        <v>2012 Q2</v>
      </c>
      <c r="AD107" t="str">
        <f>IF($B$101&gt;=1,$AD$101,IF($B$103&gt;=1,$AD$103,IF($B$105&gt;=1,$AD$105,$AD$100)))</f>
        <v>2012 Q1</v>
      </c>
      <c r="AE107" t="str">
        <f>IF($B$101&gt;=1,$AE$101,IF($B$103&gt;=1,$AE$103,IF($B$105&gt;=1,$AE$105,$AE$100)))</f>
        <v>2011 Q4</v>
      </c>
      <c r="AF107" t="str">
        <f>IF($B$101&gt;=1,$AF$101,IF($B$103&gt;=1,$AF$103,IF($B$105&gt;=1,$AF$105,$AF$100)))</f>
        <v>2011 Q3</v>
      </c>
      <c r="AG107" t="str">
        <f>IF($B$101&gt;=1,$AG$101,IF($B$103&gt;=1,$AG$103,IF($B$105&gt;=1,$AG$105,$AG$100)))</f>
        <v>2011 Q2</v>
      </c>
      <c r="AH107" t="str">
        <f>IF($B$101&gt;=1,$AH$101,IF($B$103&gt;=1,$AH$103,IF($B$105&gt;=1,$AH$105,$AH$100)))</f>
        <v>2011 Q1</v>
      </c>
      <c r="AI107" t="str">
        <f>IF($B$101&gt;=1,$AI$101,IF($B$103&gt;=1,$AI$103,IF($B$105&gt;=1,$AI$105,$AI$100)))</f>
        <v>2010 Q4</v>
      </c>
      <c r="AJ107" t="str">
        <f>IF($B$101&gt;=1,$AJ$101,IF($B$103&gt;=1,$AJ$103,IF($B$105&gt;=1,$AJ$105,$AJ$100)))</f>
        <v>2010 Q3</v>
      </c>
      <c r="AK107" t="str">
        <f>IF($B$101&gt;=1,$AK$101,IF($B$103&gt;=1,$AK$103,IF($B$105&gt;=1,$AK$105,$AK$100)))</f>
        <v>2010 Q2</v>
      </c>
      <c r="AL107" t="str">
        <f>IF($B$101&gt;=1,$AL$101,IF($B$103&gt;=1,$AL$103,IF($B$105&gt;=1,$AL$105,$AL$100)))</f>
        <v>2010 Q1</v>
      </c>
      <c r="AM107" t="str">
        <f>IF($B$101&gt;=1,$AM$101,IF($B$103&gt;=1,$AM$103,IF($B$105&gt;=1,$AM$105,$AM$100)))</f>
        <v>2009 Q4</v>
      </c>
      <c r="AN107" t="str">
        <f>IF($B$101&gt;=1,$AN$101,IF($B$103&gt;=1,$AN$103,IF($B$105&gt;=1,$AN$105,$AN$100)))</f>
        <v>2009 Q3</v>
      </c>
      <c r="AO107" t="str">
        <f>IF($B$101&gt;=1,$AO$101,IF($B$103&gt;=1,$AO$103,IF($B$105&gt;=1,$AO$105,$AO$100)))</f>
        <v>2009 Q2</v>
      </c>
      <c r="AP107" t="str">
        <f>IF($B$101&gt;=1,$AP$101,IF($B$103&gt;=1,$AP$103,IF($B$105&gt;=1,$AP$105,$AP$100)))</f>
        <v>2009 Q1</v>
      </c>
      <c r="AQ107" t="str">
        <f>IF($B$101&gt;=1,$AQ$101,IF($B$103&gt;=1,$AQ$103,IF($B$105&gt;=1,$AQ$105,$AQ$100)))</f>
        <v>2008 Q4</v>
      </c>
      <c r="AR107" t="str">
        <f>IF($B$101&gt;=1,$AR$101,IF($B$103&gt;=1,$AR$103,IF($B$105&gt;=1,$AR$105,$AR$100)))</f>
        <v>2008 Q3</v>
      </c>
      <c r="AS107" t="str">
        <f>IF($B$101&gt;=1,$AS$101,IF($B$103&gt;=1,$AS$103,IF($B$105&gt;=1,$AS$105,$AS$100)))</f>
        <v>2008 Q2</v>
      </c>
      <c r="AT107" t="str">
        <f>IF($B$101&gt;=1,$AT$101,IF($B$103&gt;=1,$AT$103,IF($B$105&gt;=1,$AT$105,$AT$100)))</f>
        <v>2008 Q1</v>
      </c>
      <c r="AU107" t="str">
        <f>IF($B$101&gt;=1,$AU$101,IF($B$103&gt;=1,$AU$103,IF($B$105&gt;=1,$AU$105,$AU$100)))</f>
        <v>2007 Q4</v>
      </c>
      <c r="AV107" t="str">
        <f>IF($B$101&gt;=1,$AV$101,IF($B$103&gt;=1,$AV$103,IF($B$105&gt;=1,$AV$105,$AV$100)))</f>
        <v>2007 Q3</v>
      </c>
      <c r="AW107" t="str">
        <f>IF($B$101&gt;=1,$AW$101,IF($B$103&gt;=1,$AW$103,IF($B$105&gt;=1,$AW$105,$AW$100)))</f>
        <v>2007 Q2</v>
      </c>
      <c r="AX107" t="str">
        <f>IF($B$101&gt;=1,$AX$101,IF($B$103&gt;=1,$AX$103,IF($B$105&gt;=1,$AX$105,$AX$100)))</f>
        <v>2007 Q1</v>
      </c>
      <c r="AY107" t="str">
        <f>IF($B$101&gt;=1,$AY$101,IF($B$103&gt;=1,$AY$103,IF($B$105&gt;=1,$AY$105,$AY$100)))</f>
        <v>2006 Q4</v>
      </c>
      <c r="AZ107" t="str">
        <f>IF($B$101&gt;=1,$AZ$101,IF($B$103&gt;=1,$AZ$103,IF($B$105&gt;=1,$AZ$105,$AZ$100)))</f>
        <v>2006 Q3</v>
      </c>
      <c r="BA107" t="str">
        <f>IF($B$101&gt;=1,$BA$101,IF($B$103&gt;=1,$BA$103,IF($B$105&gt;=1,$BA$105,$BA$100)))</f>
        <v>2006 Q2</v>
      </c>
      <c r="BB107" t="str">
        <f>IF($B$101&gt;=1,$BB$101,IF($B$103&gt;=1,$BB$103,IF($B$105&gt;=1,$BB$105,$BB$100)))</f>
        <v>2006 Q1</v>
      </c>
      <c r="BC107" t="str">
        <f>IF($B$101&gt;=1,$BC$101,IF($B$103&gt;=1,$BC$103,IF($B$105&gt;=1,$BC$105,$BC$100)))</f>
        <v>2005 Q4</v>
      </c>
      <c r="BD107" t="str">
        <f>IF($B$101&gt;=1,$BD$101,IF($B$103&gt;=1,$BD$103,IF($B$105&gt;=1,$BD$105,$BD$100)))</f>
        <v>2005 Q3</v>
      </c>
      <c r="BE107" t="str">
        <f>IF($B$101&gt;=1,$BE$101,IF($B$103&gt;=1,$BE$103,IF($B$105&gt;=1,$BE$105,$BE$100)))</f>
        <v>2005 Q2</v>
      </c>
      <c r="BF107" t="str">
        <f>IF($B$101&gt;=1,$BF$101,IF($B$103&gt;=1,$BF$103,IF($B$105&gt;=1,$BF$105,$BF$100)))</f>
        <v>2005 Q1</v>
      </c>
      <c r="BG107" t="str">
        <f>IF($B$101&gt;=1,$BG$101,IF($B$103&gt;=1,$BG$103,IF($B$105&gt;=1,$BG$105,$BG$100)))</f>
        <v>2004 Q4</v>
      </c>
      <c r="BH107" t="str">
        <f>IF($B$101&gt;=1,$BH$101,IF($B$103&gt;=1,$BH$103,IF($B$105&gt;=1,$BH$105,$BH$100)))</f>
        <v>2004 Q3</v>
      </c>
      <c r="BI107" t="str">
        <f>IF($B$101&gt;=1,$BI$101,IF($B$103&gt;=1,$BI$103,IF($B$105&gt;=1,$BI$105,$BI$100)))</f>
        <v>2004 Q2</v>
      </c>
      <c r="BM107" t="str">
        <f>""</f>
        <v/>
      </c>
      <c r="BN107" t="str">
        <f>""</f>
        <v/>
      </c>
      <c r="BO107" t="str">
        <f>""</f>
        <v/>
      </c>
      <c r="BP107" t="str">
        <f>""</f>
        <v/>
      </c>
      <c r="BQ107" t="str">
        <f>""</f>
        <v/>
      </c>
      <c r="BR107" t="str">
        <f>""</f>
        <v/>
      </c>
      <c r="BS107" t="str">
        <f>""</f>
        <v/>
      </c>
      <c r="BT107" t="str">
        <f>""</f>
        <v/>
      </c>
      <c r="BU107" t="str">
        <f>""</f>
        <v/>
      </c>
      <c r="BV107" t="str">
        <f>""</f>
        <v/>
      </c>
      <c r="BW107" t="str">
        <f>""</f>
        <v/>
      </c>
      <c r="BX107" t="str">
        <f>""</f>
        <v/>
      </c>
      <c r="BY107" t="str">
        <f>""</f>
        <v/>
      </c>
      <c r="BZ107" t="str">
        <f>""</f>
        <v/>
      </c>
      <c r="CA107" t="str">
        <f>""</f>
        <v/>
      </c>
      <c r="CB107" t="str">
        <f>""</f>
        <v/>
      </c>
      <c r="CC107" t="str">
        <f>""</f>
        <v/>
      </c>
      <c r="CD107" t="str">
        <f>""</f>
        <v/>
      </c>
      <c r="CE107" t="str">
        <f>""</f>
        <v/>
      </c>
      <c r="CF107" t="str">
        <f>""</f>
        <v/>
      </c>
      <c r="CG107" t="str">
        <f>""</f>
        <v/>
      </c>
      <c r="CH107" t="str">
        <f>""</f>
        <v/>
      </c>
      <c r="CI107" t="str">
        <f>""</f>
        <v/>
      </c>
      <c r="CJ107" t="str">
        <f>""</f>
        <v/>
      </c>
      <c r="CK107" t="str">
        <f>""</f>
        <v/>
      </c>
      <c r="CL107" t="str">
        <f>""</f>
        <v/>
      </c>
      <c r="CM107" t="str">
        <f>""</f>
        <v/>
      </c>
      <c r="CN107" t="str">
        <f>""</f>
        <v/>
      </c>
      <c r="CO107" t="str">
        <f>""</f>
        <v/>
      </c>
      <c r="CP107" t="str">
        <f>""</f>
        <v/>
      </c>
      <c r="CQ107" t="str">
        <f>""</f>
        <v/>
      </c>
      <c r="CR107" t="str">
        <f>""</f>
        <v/>
      </c>
      <c r="CS107" t="str">
        <f>""</f>
        <v/>
      </c>
      <c r="CT107" t="str">
        <f>""</f>
        <v/>
      </c>
      <c r="CU107" t="str">
        <f>""</f>
        <v/>
      </c>
      <c r="CV107" t="str">
        <f>""</f>
        <v/>
      </c>
      <c r="CW107" t="str">
        <f>""</f>
        <v/>
      </c>
      <c r="CX107" t="str">
        <f>""</f>
        <v/>
      </c>
      <c r="CY107" t="str">
        <f>""</f>
        <v/>
      </c>
      <c r="CZ107" t="str">
        <f>""</f>
        <v/>
      </c>
      <c r="DA107" t="str">
        <f>""</f>
        <v/>
      </c>
      <c r="DB107" t="str">
        <f>""</f>
        <v/>
      </c>
      <c r="DC107" t="str">
        <f>""</f>
        <v/>
      </c>
      <c r="DD107" t="str">
        <f>""</f>
        <v/>
      </c>
      <c r="DE107" t="str">
        <f>""</f>
        <v/>
      </c>
      <c r="DF107" t="str">
        <f>""</f>
        <v/>
      </c>
      <c r="DG107" t="str">
        <f>""</f>
        <v/>
      </c>
      <c r="DH107" t="str">
        <f>""</f>
        <v/>
      </c>
      <c r="DI107" t="str">
        <f>""</f>
        <v/>
      </c>
      <c r="DJ107" t="str">
        <f>""</f>
        <v/>
      </c>
      <c r="DK107" t="str">
        <f>""</f>
        <v/>
      </c>
      <c r="DL107" t="str">
        <f>""</f>
        <v/>
      </c>
      <c r="DM107" t="str">
        <f>""</f>
        <v/>
      </c>
      <c r="DN107" t="str">
        <f>""</f>
        <v/>
      </c>
      <c r="DO107" t="str">
        <f>""</f>
        <v/>
      </c>
      <c r="DP107" t="str">
        <f>""</f>
        <v/>
      </c>
      <c r="DQ107" t="str">
        <f>""</f>
        <v/>
      </c>
      <c r="DR107" t="str">
        <f>""</f>
        <v/>
      </c>
      <c r="DS107" t="str">
        <f>""</f>
        <v/>
      </c>
    </row>
    <row r="108" spans="1:123" x14ac:dyDescent="0.25">
      <c r="A108" t="str">
        <f>"BDH snapshot title"</f>
        <v>BDH snapshot title</v>
      </c>
      <c r="B108">
        <f>$B$107</f>
        <v>2</v>
      </c>
      <c r="C108" t="str">
        <f>IF(LEN($C$107)&lt;&gt;8,$C$107,RIGHT($C$107,4)&amp;" "&amp;MID($C$107,3,1)&amp;LEFT($C$107,1))</f>
        <v>2018 Q4</v>
      </c>
      <c r="D108" t="str">
        <f>IF(LEN($D$107)&lt;&gt;8,$D$107,RIGHT($D$107,4)&amp;" "&amp;MID($D$107,3,1)&amp;LEFT($D$107,1))</f>
        <v>2018 Q3</v>
      </c>
      <c r="E108" t="str">
        <f>IF(LEN($E$107)&lt;&gt;8,$E$107,RIGHT($E$107,4)&amp;" "&amp;MID($E$107,3,1)&amp;LEFT($E$107,1))</f>
        <v>2018 Q2</v>
      </c>
      <c r="F108" t="str">
        <f>IF(LEN($F$107)&lt;&gt;8,$F$107,RIGHT($F$107,4)&amp;" "&amp;MID($F$107,3,1)&amp;LEFT($F$107,1))</f>
        <v>2018 Q1</v>
      </c>
      <c r="G108" t="str">
        <f>IF(LEN($G$107)&lt;&gt;8,$G$107,RIGHT($G$107,4)&amp;" "&amp;MID($G$107,3,1)&amp;LEFT($G$107,1))</f>
        <v>2017 Q4</v>
      </c>
      <c r="H108" t="str">
        <f>IF(LEN($H$107)&lt;&gt;8,$H$107,RIGHT($H$107,4)&amp;" "&amp;MID($H$107,3,1)&amp;LEFT($H$107,1))</f>
        <v>2017 Q3</v>
      </c>
      <c r="I108" t="str">
        <f>IF(LEN($I$107)&lt;&gt;8,$I$107,RIGHT($I$107,4)&amp;" "&amp;MID($I$107,3,1)&amp;LEFT($I$107,1))</f>
        <v>2017 Q2</v>
      </c>
      <c r="J108" t="str">
        <f>IF(LEN($J$107)&lt;&gt;8,$J$107,RIGHT($J$107,4)&amp;" "&amp;MID($J$107,3,1)&amp;LEFT($J$107,1))</f>
        <v>2017 Q1</v>
      </c>
      <c r="K108" t="str">
        <f>IF(LEN($K$107)&lt;&gt;8,$K$107,RIGHT($K$107,4)&amp;" "&amp;MID($K$107,3,1)&amp;LEFT($K$107,1))</f>
        <v>2016 Q4</v>
      </c>
      <c r="L108" t="str">
        <f>IF(LEN($L$107)&lt;&gt;8,$L$107,RIGHT($L$107,4)&amp;" "&amp;MID($L$107,3,1)&amp;LEFT($L$107,1))</f>
        <v>2016 Q3</v>
      </c>
      <c r="M108" t="str">
        <f>IF(LEN($M$107)&lt;&gt;8,$M$107,RIGHT($M$107,4)&amp;" "&amp;MID($M$107,3,1)&amp;LEFT($M$107,1))</f>
        <v>2016 Q2</v>
      </c>
      <c r="N108" t="str">
        <f>IF(LEN($N$107)&lt;&gt;8,$N$107,RIGHT($N$107,4)&amp;" "&amp;MID($N$107,3,1)&amp;LEFT($N$107,1))</f>
        <v>2016 Q1</v>
      </c>
      <c r="O108" t="str">
        <f>IF(LEN($O$107)&lt;&gt;8,$O$107,RIGHT($O$107,4)&amp;" "&amp;MID($O$107,3,1)&amp;LEFT($O$107,1))</f>
        <v>2015 Q4</v>
      </c>
      <c r="P108" t="str">
        <f>IF(LEN($P$107)&lt;&gt;8,$P$107,RIGHT($P$107,4)&amp;" "&amp;MID($P$107,3,1)&amp;LEFT($P$107,1))</f>
        <v>2015 Q3</v>
      </c>
      <c r="Q108" t="str">
        <f>IF(LEN($Q$107)&lt;&gt;8,$Q$107,RIGHT($Q$107,4)&amp;" "&amp;MID($Q$107,3,1)&amp;LEFT($Q$107,1))</f>
        <v>2015 Q2</v>
      </c>
      <c r="R108" t="str">
        <f>IF(LEN($R$107)&lt;&gt;8,$R$107,RIGHT($R$107,4)&amp;" "&amp;MID($R$107,3,1)&amp;LEFT($R$107,1))</f>
        <v>2015 Q1</v>
      </c>
      <c r="S108" t="str">
        <f>IF(LEN($S$107)&lt;&gt;8,$S$107,RIGHT($S$107,4)&amp;" "&amp;MID($S$107,3,1)&amp;LEFT($S$107,1))</f>
        <v>2014 Q4</v>
      </c>
      <c r="T108" t="str">
        <f>IF(LEN($T$107)&lt;&gt;8,$T$107,RIGHT($T$107,4)&amp;" "&amp;MID($T$107,3,1)&amp;LEFT($T$107,1))</f>
        <v>2014 Q3</v>
      </c>
      <c r="U108" t="str">
        <f>IF(LEN($U$107)&lt;&gt;8,$U$107,RIGHT($U$107,4)&amp;" "&amp;MID($U$107,3,1)&amp;LEFT($U$107,1))</f>
        <v>2014 Q2</v>
      </c>
      <c r="V108" t="str">
        <f>IF(LEN($V$107)&lt;&gt;8,$V$107,RIGHT($V$107,4)&amp;" "&amp;MID($V$107,3,1)&amp;LEFT($V$107,1))</f>
        <v>2014 Q1</v>
      </c>
      <c r="W108" t="str">
        <f>IF(LEN($W$107)&lt;&gt;8,$W$107,RIGHT($W$107,4)&amp;" "&amp;MID($W$107,3,1)&amp;LEFT($W$107,1))</f>
        <v>2013 Q4</v>
      </c>
      <c r="X108" t="str">
        <f>IF(LEN($X$107)&lt;&gt;8,$X$107,RIGHT($X$107,4)&amp;" "&amp;MID($X$107,3,1)&amp;LEFT($X$107,1))</f>
        <v>2013 Q3</v>
      </c>
      <c r="Y108" t="str">
        <f>IF(LEN($Y$107)&lt;&gt;8,$Y$107,RIGHT($Y$107,4)&amp;" "&amp;MID($Y$107,3,1)&amp;LEFT($Y$107,1))</f>
        <v>2013 Q2</v>
      </c>
      <c r="Z108" t="str">
        <f>IF(LEN($Z$107)&lt;&gt;8,$Z$107,RIGHT($Z$107,4)&amp;" "&amp;MID($Z$107,3,1)&amp;LEFT($Z$107,1))</f>
        <v>2013 Q1</v>
      </c>
      <c r="AA108" t="str">
        <f>IF(LEN($AA$107)&lt;&gt;8,$AA$107,RIGHT($AA$107,4)&amp;" "&amp;MID($AA$107,3,1)&amp;LEFT($AA$107,1))</f>
        <v>2012 Q4</v>
      </c>
      <c r="AB108" t="str">
        <f>IF(LEN($AB$107)&lt;&gt;8,$AB$107,RIGHT($AB$107,4)&amp;" "&amp;MID($AB$107,3,1)&amp;LEFT($AB$107,1))</f>
        <v>2012 Q3</v>
      </c>
      <c r="AC108" t="str">
        <f>IF(LEN($AC$107)&lt;&gt;8,$AC$107,RIGHT($AC$107,4)&amp;" "&amp;MID($AC$107,3,1)&amp;LEFT($AC$107,1))</f>
        <v>2012 Q2</v>
      </c>
      <c r="AD108" t="str">
        <f>IF(LEN($AD$107)&lt;&gt;8,$AD$107,RIGHT($AD$107,4)&amp;" "&amp;MID($AD$107,3,1)&amp;LEFT($AD$107,1))</f>
        <v>2012 Q1</v>
      </c>
      <c r="AE108" t="str">
        <f>IF(LEN($AE$107)&lt;&gt;8,$AE$107,RIGHT($AE$107,4)&amp;" "&amp;MID($AE$107,3,1)&amp;LEFT($AE$107,1))</f>
        <v>2011 Q4</v>
      </c>
      <c r="AF108" t="str">
        <f>IF(LEN($AF$107)&lt;&gt;8,$AF$107,RIGHT($AF$107,4)&amp;" "&amp;MID($AF$107,3,1)&amp;LEFT($AF$107,1))</f>
        <v>2011 Q3</v>
      </c>
      <c r="AG108" t="str">
        <f>IF(LEN($AG$107)&lt;&gt;8,$AG$107,RIGHT($AG$107,4)&amp;" "&amp;MID($AG$107,3,1)&amp;LEFT($AG$107,1))</f>
        <v>2011 Q2</v>
      </c>
      <c r="AH108" t="str">
        <f>IF(LEN($AH$107)&lt;&gt;8,$AH$107,RIGHT($AH$107,4)&amp;" "&amp;MID($AH$107,3,1)&amp;LEFT($AH$107,1))</f>
        <v>2011 Q1</v>
      </c>
      <c r="AI108" t="str">
        <f>IF(LEN($AI$107)&lt;&gt;8,$AI$107,RIGHT($AI$107,4)&amp;" "&amp;MID($AI$107,3,1)&amp;LEFT($AI$107,1))</f>
        <v>2010 Q4</v>
      </c>
      <c r="AJ108" t="str">
        <f>IF(LEN($AJ$107)&lt;&gt;8,$AJ$107,RIGHT($AJ$107,4)&amp;" "&amp;MID($AJ$107,3,1)&amp;LEFT($AJ$107,1))</f>
        <v>2010 Q3</v>
      </c>
      <c r="AK108" t="str">
        <f>IF(LEN($AK$107)&lt;&gt;8,$AK$107,RIGHT($AK$107,4)&amp;" "&amp;MID($AK$107,3,1)&amp;LEFT($AK$107,1))</f>
        <v>2010 Q2</v>
      </c>
      <c r="AL108" t="str">
        <f>IF(LEN($AL$107)&lt;&gt;8,$AL$107,RIGHT($AL$107,4)&amp;" "&amp;MID($AL$107,3,1)&amp;LEFT($AL$107,1))</f>
        <v>2010 Q1</v>
      </c>
      <c r="AM108" t="str">
        <f>IF(LEN($AM$107)&lt;&gt;8,$AM$107,RIGHT($AM$107,4)&amp;" "&amp;MID($AM$107,3,1)&amp;LEFT($AM$107,1))</f>
        <v>2009 Q4</v>
      </c>
      <c r="AN108" t="str">
        <f>IF(LEN($AN$107)&lt;&gt;8,$AN$107,RIGHT($AN$107,4)&amp;" "&amp;MID($AN$107,3,1)&amp;LEFT($AN$107,1))</f>
        <v>2009 Q3</v>
      </c>
      <c r="AO108" t="str">
        <f>IF(LEN($AO$107)&lt;&gt;8,$AO$107,RIGHT($AO$107,4)&amp;" "&amp;MID($AO$107,3,1)&amp;LEFT($AO$107,1))</f>
        <v>2009 Q2</v>
      </c>
      <c r="AP108" t="str">
        <f>IF(LEN($AP$107)&lt;&gt;8,$AP$107,RIGHT($AP$107,4)&amp;" "&amp;MID($AP$107,3,1)&amp;LEFT($AP$107,1))</f>
        <v>2009 Q1</v>
      </c>
      <c r="AQ108" t="str">
        <f>IF(LEN($AQ$107)&lt;&gt;8,$AQ$107,RIGHT($AQ$107,4)&amp;" "&amp;MID($AQ$107,3,1)&amp;LEFT($AQ$107,1))</f>
        <v>2008 Q4</v>
      </c>
      <c r="AR108" t="str">
        <f>IF(LEN($AR$107)&lt;&gt;8,$AR$107,RIGHT($AR$107,4)&amp;" "&amp;MID($AR$107,3,1)&amp;LEFT($AR$107,1))</f>
        <v>2008 Q3</v>
      </c>
      <c r="AS108" t="str">
        <f>IF(LEN($AS$107)&lt;&gt;8,$AS$107,RIGHT($AS$107,4)&amp;" "&amp;MID($AS$107,3,1)&amp;LEFT($AS$107,1))</f>
        <v>2008 Q2</v>
      </c>
      <c r="AT108" t="str">
        <f>IF(LEN($AT$107)&lt;&gt;8,$AT$107,RIGHT($AT$107,4)&amp;" "&amp;MID($AT$107,3,1)&amp;LEFT($AT$107,1))</f>
        <v>2008 Q1</v>
      </c>
      <c r="AU108" t="str">
        <f>IF(LEN($AU$107)&lt;&gt;8,$AU$107,RIGHT($AU$107,4)&amp;" "&amp;MID($AU$107,3,1)&amp;LEFT($AU$107,1))</f>
        <v>2007 Q4</v>
      </c>
      <c r="AV108" t="str">
        <f>IF(LEN($AV$107)&lt;&gt;8,$AV$107,RIGHT($AV$107,4)&amp;" "&amp;MID($AV$107,3,1)&amp;LEFT($AV$107,1))</f>
        <v>2007 Q3</v>
      </c>
      <c r="AW108" t="str">
        <f>IF(LEN($AW$107)&lt;&gt;8,$AW$107,RIGHT($AW$107,4)&amp;" "&amp;MID($AW$107,3,1)&amp;LEFT($AW$107,1))</f>
        <v>2007 Q2</v>
      </c>
      <c r="AX108" t="str">
        <f>IF(LEN($AX$107)&lt;&gt;8,$AX$107,RIGHT($AX$107,4)&amp;" "&amp;MID($AX$107,3,1)&amp;LEFT($AX$107,1))</f>
        <v>2007 Q1</v>
      </c>
      <c r="AY108" t="str">
        <f>IF(LEN($AY$107)&lt;&gt;8,$AY$107,RIGHT($AY$107,4)&amp;" "&amp;MID($AY$107,3,1)&amp;LEFT($AY$107,1))</f>
        <v>2006 Q4</v>
      </c>
      <c r="AZ108" t="str">
        <f>IF(LEN($AZ$107)&lt;&gt;8,$AZ$107,RIGHT($AZ$107,4)&amp;" "&amp;MID($AZ$107,3,1)&amp;LEFT($AZ$107,1))</f>
        <v>2006 Q3</v>
      </c>
      <c r="BA108" t="str">
        <f>IF(LEN($BA$107)&lt;&gt;8,$BA$107,RIGHT($BA$107,4)&amp;" "&amp;MID($BA$107,3,1)&amp;LEFT($BA$107,1))</f>
        <v>2006 Q2</v>
      </c>
      <c r="BB108" t="str">
        <f>IF(LEN($BB$107)&lt;&gt;8,$BB$107,RIGHT($BB$107,4)&amp;" "&amp;MID($BB$107,3,1)&amp;LEFT($BB$107,1))</f>
        <v>2006 Q1</v>
      </c>
      <c r="BC108" t="str">
        <f>IF(LEN($BC$107)&lt;&gt;8,$BC$107,RIGHT($BC$107,4)&amp;" "&amp;MID($BC$107,3,1)&amp;LEFT($BC$107,1))</f>
        <v>2005 Q4</v>
      </c>
      <c r="BD108" t="str">
        <f>IF(LEN($BD$107)&lt;&gt;8,$BD$107,RIGHT($BD$107,4)&amp;" "&amp;MID($BD$107,3,1)&amp;LEFT($BD$107,1))</f>
        <v>2005 Q3</v>
      </c>
      <c r="BE108" t="str">
        <f>IF(LEN($BE$107)&lt;&gt;8,$BE$107,RIGHT($BE$107,4)&amp;" "&amp;MID($BE$107,3,1)&amp;LEFT($BE$107,1))</f>
        <v>2005 Q2</v>
      </c>
      <c r="BF108" t="str">
        <f>IF(LEN($BF$107)&lt;&gt;8,$BF$107,RIGHT($BF$107,4)&amp;" "&amp;MID($BF$107,3,1)&amp;LEFT($BF$107,1))</f>
        <v>2005 Q1</v>
      </c>
      <c r="BG108" t="str">
        <f>IF(LEN($BG$107)&lt;&gt;8,$BG$107,RIGHT($BG$107,4)&amp;" "&amp;MID($BG$107,3,1)&amp;LEFT($BG$107,1))</f>
        <v>2004 Q4</v>
      </c>
      <c r="BH108" t="str">
        <f>IF(LEN($BH$107)&lt;&gt;8,$BH$107,RIGHT($BH$107,4)&amp;" "&amp;MID($BH$107,3,1)&amp;LEFT($BH$107,1))</f>
        <v>2004 Q3</v>
      </c>
      <c r="BI108" t="str">
        <f>IF(LEN($BI$107)&lt;&gt;8,$BI$107,RIGHT($BI$107,4)&amp;" "&amp;MID($BI$107,3,1)&amp;LEFT($BI$107,1))</f>
        <v>2004 Q2</v>
      </c>
      <c r="BM108" t="str">
        <f>""</f>
        <v/>
      </c>
      <c r="BN108" t="str">
        <f>""</f>
        <v/>
      </c>
      <c r="BO108" t="str">
        <f>""</f>
        <v/>
      </c>
      <c r="BP108" t="str">
        <f>""</f>
        <v/>
      </c>
      <c r="BQ108" t="str">
        <f>""</f>
        <v/>
      </c>
      <c r="BR108" t="str">
        <f>""</f>
        <v/>
      </c>
      <c r="BS108" t="str">
        <f>""</f>
        <v/>
      </c>
      <c r="BT108" t="str">
        <f>""</f>
        <v/>
      </c>
      <c r="BU108" t="str">
        <f>""</f>
        <v/>
      </c>
      <c r="BV108" t="str">
        <f>""</f>
        <v/>
      </c>
      <c r="BW108" t="str">
        <f>""</f>
        <v/>
      </c>
      <c r="BX108" t="str">
        <f>""</f>
        <v/>
      </c>
      <c r="BY108" t="str">
        <f>""</f>
        <v/>
      </c>
      <c r="BZ108" t="str">
        <f>""</f>
        <v/>
      </c>
      <c r="CA108" t="str">
        <f>""</f>
        <v/>
      </c>
      <c r="CB108" t="str">
        <f>""</f>
        <v/>
      </c>
      <c r="CC108" t="str">
        <f>""</f>
        <v/>
      </c>
      <c r="CD108" t="str">
        <f>""</f>
        <v/>
      </c>
      <c r="CE108" t="str">
        <f>""</f>
        <v/>
      </c>
      <c r="CF108" t="str">
        <f>""</f>
        <v/>
      </c>
      <c r="CG108" t="str">
        <f>""</f>
        <v/>
      </c>
      <c r="CH108" t="str">
        <f>""</f>
        <v/>
      </c>
      <c r="CI108" t="str">
        <f>""</f>
        <v/>
      </c>
      <c r="CJ108" t="str">
        <f>""</f>
        <v/>
      </c>
      <c r="CK108" t="str">
        <f>""</f>
        <v/>
      </c>
      <c r="CL108" t="str">
        <f>""</f>
        <v/>
      </c>
      <c r="CM108" t="str">
        <f>""</f>
        <v/>
      </c>
      <c r="CN108" t="str">
        <f>""</f>
        <v/>
      </c>
      <c r="CO108" t="str">
        <f>""</f>
        <v/>
      </c>
      <c r="CP108" t="str">
        <f>""</f>
        <v/>
      </c>
      <c r="CQ108" t="str">
        <f>""</f>
        <v/>
      </c>
      <c r="CR108" t="str">
        <f>""</f>
        <v/>
      </c>
      <c r="CS108" t="str">
        <f>""</f>
        <v/>
      </c>
      <c r="CT108" t="str">
        <f>""</f>
        <v/>
      </c>
      <c r="CU108" t="str">
        <f>""</f>
        <v/>
      </c>
      <c r="CV108" t="str">
        <f>""</f>
        <v/>
      </c>
      <c r="CW108" t="str">
        <f>""</f>
        <v/>
      </c>
      <c r="CX108" t="str">
        <f>""</f>
        <v/>
      </c>
      <c r="CY108" t="str">
        <f>""</f>
        <v/>
      </c>
      <c r="CZ108" t="str">
        <f>""</f>
        <v/>
      </c>
      <c r="DA108" t="str">
        <f>""</f>
        <v/>
      </c>
      <c r="DB108" t="str">
        <f>""</f>
        <v/>
      </c>
      <c r="DC108" t="str">
        <f>""</f>
        <v/>
      </c>
      <c r="DD108" t="str">
        <f>""</f>
        <v/>
      </c>
      <c r="DE108" t="str">
        <f>""</f>
        <v/>
      </c>
      <c r="DF108" t="str">
        <f>""</f>
        <v/>
      </c>
      <c r="DG108" t="str">
        <f>""</f>
        <v/>
      </c>
      <c r="DH108" t="str">
        <f>""</f>
        <v/>
      </c>
      <c r="DI108" t="str">
        <f>""</f>
        <v/>
      </c>
      <c r="DJ108" t="str">
        <f>""</f>
        <v/>
      </c>
      <c r="DK108" t="str">
        <f>""</f>
        <v/>
      </c>
      <c r="DL108" t="str">
        <f>""</f>
        <v/>
      </c>
      <c r="DM108" t="str">
        <f>""</f>
        <v/>
      </c>
      <c r="DN108" t="str">
        <f>""</f>
        <v/>
      </c>
      <c r="DO108" t="str">
        <f>""</f>
        <v/>
      </c>
      <c r="DP108" t="str">
        <f>""</f>
        <v/>
      </c>
      <c r="DQ108" t="str">
        <f>""</f>
        <v/>
      </c>
      <c r="DR108" t="str">
        <f>""</f>
        <v/>
      </c>
      <c r="DS108" t="str">
        <f>""</f>
        <v/>
      </c>
    </row>
    <row r="109" spans="1:123" x14ac:dyDescent="0.25">
      <c r="A109" t="str">
        <f>"BDH dynamic header0"</f>
        <v>BDH dynamic header0</v>
      </c>
      <c r="B109">
        <f ca="1">IF(OR(ISERROR($C$109),ISBLANK($C$109),ISNUMBER(SEARCH("N/A",$C$109) ),ISERROR($C$110),ISBLANK($C$110)),0,1)</f>
        <v>0</v>
      </c>
      <c r="C109" t="str">
        <f ca="1">_xll.BDH($B$3,$C$3,$B$51,$B$52,"PER=CQ","Dts=S","DtFmt=FI", "rows=2","Dir=H","Points=59","Sort=R","Days=A","Fill=B","FX=USD" )</f>
        <v>#N/A Connection</v>
      </c>
      <c r="BM109" t="str">
        <f>""</f>
        <v/>
      </c>
      <c r="BN109" t="str">
        <f>""</f>
        <v/>
      </c>
      <c r="BO109" t="str">
        <f>""</f>
        <v/>
      </c>
      <c r="BP109" t="str">
        <f>""</f>
        <v/>
      </c>
      <c r="BQ109" t="str">
        <f>""</f>
        <v/>
      </c>
      <c r="BR109" t="str">
        <f>""</f>
        <v/>
      </c>
      <c r="BS109" t="str">
        <f>""</f>
        <v/>
      </c>
      <c r="BT109" t="str">
        <f>""</f>
        <v/>
      </c>
      <c r="BU109" t="str">
        <f>""</f>
        <v/>
      </c>
      <c r="BV109" t="str">
        <f>""</f>
        <v/>
      </c>
      <c r="BW109" t="str">
        <f>""</f>
        <v/>
      </c>
      <c r="BX109" t="str">
        <f>""</f>
        <v/>
      </c>
      <c r="BY109" t="str">
        <f>""</f>
        <v/>
      </c>
      <c r="BZ109" t="str">
        <f>""</f>
        <v/>
      </c>
      <c r="CA109" t="str">
        <f>""</f>
        <v/>
      </c>
      <c r="CB109" t="str">
        <f>""</f>
        <v/>
      </c>
      <c r="CC109" t="str">
        <f>""</f>
        <v/>
      </c>
      <c r="CD109" t="str">
        <f>""</f>
        <v/>
      </c>
      <c r="CE109" t="str">
        <f>""</f>
        <v/>
      </c>
      <c r="CF109" t="str">
        <f>""</f>
        <v/>
      </c>
      <c r="CG109" t="str">
        <f>""</f>
        <v/>
      </c>
      <c r="CH109" t="str">
        <f>""</f>
        <v/>
      </c>
      <c r="CI109" t="str">
        <f>""</f>
        <v/>
      </c>
      <c r="CJ109" t="str">
        <f>""</f>
        <v/>
      </c>
      <c r="CK109" t="str">
        <f>""</f>
        <v/>
      </c>
      <c r="CL109" t="str">
        <f>""</f>
        <v/>
      </c>
      <c r="CM109" t="str">
        <f>""</f>
        <v/>
      </c>
      <c r="CN109" t="str">
        <f>""</f>
        <v/>
      </c>
      <c r="CO109" t="str">
        <f>""</f>
        <v/>
      </c>
      <c r="CP109" t="str">
        <f>""</f>
        <v/>
      </c>
      <c r="CQ109" t="str">
        <f>""</f>
        <v/>
      </c>
      <c r="CR109" t="str">
        <f>""</f>
        <v/>
      </c>
      <c r="CS109" t="str">
        <f>""</f>
        <v/>
      </c>
      <c r="CT109" t="str">
        <f>""</f>
        <v/>
      </c>
      <c r="CU109" t="str">
        <f>""</f>
        <v/>
      </c>
      <c r="CV109" t="str">
        <f>""</f>
        <v/>
      </c>
      <c r="CW109" t="str">
        <f>""</f>
        <v/>
      </c>
      <c r="CX109" t="str">
        <f>""</f>
        <v/>
      </c>
      <c r="CY109" t="str">
        <f>""</f>
        <v/>
      </c>
      <c r="CZ109" t="str">
        <f>""</f>
        <v/>
      </c>
      <c r="DA109" t="str">
        <f>""</f>
        <v/>
      </c>
      <c r="DB109" t="str">
        <f>""</f>
        <v/>
      </c>
      <c r="DC109" t="str">
        <f>""</f>
        <v/>
      </c>
      <c r="DD109" t="str">
        <f>""</f>
        <v/>
      </c>
      <c r="DE109" t="str">
        <f>""</f>
        <v/>
      </c>
      <c r="DF109" t="str">
        <f>""</f>
        <v/>
      </c>
      <c r="DG109" t="str">
        <f>""</f>
        <v/>
      </c>
      <c r="DH109" t="str">
        <f>""</f>
        <v/>
      </c>
      <c r="DI109" t="str">
        <f>""</f>
        <v/>
      </c>
      <c r="DJ109" t="str">
        <f>""</f>
        <v/>
      </c>
      <c r="DK109" t="str">
        <f>""</f>
        <v/>
      </c>
      <c r="DL109" t="str">
        <f>""</f>
        <v/>
      </c>
      <c r="DM109" t="str">
        <f>""</f>
        <v/>
      </c>
      <c r="DN109" t="str">
        <f>""</f>
        <v/>
      </c>
      <c r="DO109" t="str">
        <f>""</f>
        <v/>
      </c>
      <c r="DP109" t="str">
        <f>""</f>
        <v/>
      </c>
      <c r="DQ109" t="str">
        <f>""</f>
        <v/>
      </c>
      <c r="DR109" t="str">
        <f>""</f>
        <v/>
      </c>
      <c r="DS109" t="str">
        <f>""</f>
        <v/>
      </c>
    </row>
    <row r="110" spans="1:123" x14ac:dyDescent="0.25">
      <c r="A110" t="str">
        <f>"BDH dynamic result0"</f>
        <v>BDH dynamic result0</v>
      </c>
      <c r="BM110" t="str">
        <f>""</f>
        <v/>
      </c>
      <c r="BN110" t="str">
        <f>""</f>
        <v/>
      </c>
      <c r="BO110" t="str">
        <f>""</f>
        <v/>
      </c>
      <c r="BP110" t="str">
        <f>""</f>
        <v/>
      </c>
      <c r="BQ110" t="str">
        <f>""</f>
        <v/>
      </c>
      <c r="BR110" t="str">
        <f>""</f>
        <v/>
      </c>
      <c r="BS110" t="str">
        <f>""</f>
        <v/>
      </c>
      <c r="BT110" t="str">
        <f>""</f>
        <v/>
      </c>
      <c r="BU110" t="str">
        <f>""</f>
        <v/>
      </c>
      <c r="BV110" t="str">
        <f>""</f>
        <v/>
      </c>
      <c r="BW110" t="str">
        <f>""</f>
        <v/>
      </c>
      <c r="BX110" t="str">
        <f>""</f>
        <v/>
      </c>
      <c r="BY110" t="str">
        <f>""</f>
        <v/>
      </c>
      <c r="BZ110" t="str">
        <f>""</f>
        <v/>
      </c>
      <c r="CA110" t="str">
        <f>""</f>
        <v/>
      </c>
      <c r="CB110" t="str">
        <f>""</f>
        <v/>
      </c>
      <c r="CC110" t="str">
        <f>""</f>
        <v/>
      </c>
      <c r="CD110" t="str">
        <f>""</f>
        <v/>
      </c>
      <c r="CE110" t="str">
        <f>""</f>
        <v/>
      </c>
      <c r="CF110" t="str">
        <f>""</f>
        <v/>
      </c>
      <c r="CG110" t="str">
        <f>""</f>
        <v/>
      </c>
      <c r="CH110" t="str">
        <f>""</f>
        <v/>
      </c>
      <c r="CI110" t="str">
        <f>""</f>
        <v/>
      </c>
      <c r="CJ110" t="str">
        <f>""</f>
        <v/>
      </c>
      <c r="CK110" t="str">
        <f>""</f>
        <v/>
      </c>
      <c r="CL110" t="str">
        <f>""</f>
        <v/>
      </c>
      <c r="CM110" t="str">
        <f>""</f>
        <v/>
      </c>
      <c r="CN110" t="str">
        <f>""</f>
        <v/>
      </c>
      <c r="CO110" t="str">
        <f>""</f>
        <v/>
      </c>
      <c r="CP110" t="str">
        <f>""</f>
        <v/>
      </c>
      <c r="CQ110" t="str">
        <f>""</f>
        <v/>
      </c>
      <c r="CR110" t="str">
        <f>""</f>
        <v/>
      </c>
      <c r="CS110" t="str">
        <f>""</f>
        <v/>
      </c>
      <c r="CT110" t="str">
        <f>""</f>
        <v/>
      </c>
      <c r="CU110" t="str">
        <f>""</f>
        <v/>
      </c>
      <c r="CV110" t="str">
        <f>""</f>
        <v/>
      </c>
      <c r="CW110" t="str">
        <f>""</f>
        <v/>
      </c>
      <c r="CX110" t="str">
        <f>""</f>
        <v/>
      </c>
      <c r="CY110" t="str">
        <f>""</f>
        <v/>
      </c>
      <c r="CZ110" t="str">
        <f>""</f>
        <v/>
      </c>
      <c r="DA110" t="str">
        <f>""</f>
        <v/>
      </c>
      <c r="DB110" t="str">
        <f>""</f>
        <v/>
      </c>
      <c r="DC110" t="str">
        <f>""</f>
        <v/>
      </c>
      <c r="DD110" t="str">
        <f>""</f>
        <v/>
      </c>
      <c r="DE110" t="str">
        <f>""</f>
        <v/>
      </c>
      <c r="DF110" t="str">
        <f>""</f>
        <v/>
      </c>
      <c r="DG110" t="str">
        <f>""</f>
        <v/>
      </c>
      <c r="DH110" t="str">
        <f>""</f>
        <v/>
      </c>
      <c r="DI110" t="str">
        <f>""</f>
        <v/>
      </c>
      <c r="DJ110" t="str">
        <f>""</f>
        <v/>
      </c>
      <c r="DK110" t="str">
        <f>""</f>
        <v/>
      </c>
      <c r="DL110" t="str">
        <f>""</f>
        <v/>
      </c>
      <c r="DM110" t="str">
        <f>""</f>
        <v/>
      </c>
      <c r="DN110" t="str">
        <f>""</f>
        <v/>
      </c>
      <c r="DO110" t="str">
        <f>""</f>
        <v/>
      </c>
      <c r="DP110" t="str">
        <f>""</f>
        <v/>
      </c>
      <c r="DQ110" t="str">
        <f>""</f>
        <v/>
      </c>
      <c r="DR110" t="str">
        <f>""</f>
        <v/>
      </c>
      <c r="DS110" t="str">
        <f>""</f>
        <v/>
      </c>
    </row>
    <row r="111" spans="1:123" x14ac:dyDescent="0.25">
      <c r="A111" t="str">
        <f>"BDH dynamic header1"</f>
        <v>BDH dynamic header1</v>
      </c>
      <c r="B111">
        <f ca="1">IF(OR(ISERROR($C$111),ISBLANK($C$111),ISNUMBER(SEARCH("N/A",$C$111) ),ISERROR($C$112),ISBLANK($C$112)),0,1)</f>
        <v>0</v>
      </c>
      <c r="C111" t="str">
        <f ca="1">_xll.BDH($B$4,$C$4,$B$51,$B$52,"PER=CQ","Dts=S","DtFmt=FI", "rows=2","Dir=H","Points=59","Sort=R","Days=A","Fill=B","DZ666=001","X0001=NA00","DZ667=1","DS276=Y","FX=USD" )</f>
        <v>#N/A Connection</v>
      </c>
      <c r="BM111" t="str">
        <f>""</f>
        <v/>
      </c>
      <c r="BN111" t="str">
        <f>""</f>
        <v/>
      </c>
      <c r="BO111" t="str">
        <f>""</f>
        <v/>
      </c>
      <c r="BP111" t="str">
        <f>""</f>
        <v/>
      </c>
      <c r="BQ111" t="str">
        <f>""</f>
        <v/>
      </c>
      <c r="BR111" t="str">
        <f>""</f>
        <v/>
      </c>
      <c r="BS111" t="str">
        <f>""</f>
        <v/>
      </c>
      <c r="BT111" t="str">
        <f>""</f>
        <v/>
      </c>
      <c r="BU111" t="str">
        <f>""</f>
        <v/>
      </c>
      <c r="BV111" t="str">
        <f>""</f>
        <v/>
      </c>
      <c r="BW111" t="str">
        <f>""</f>
        <v/>
      </c>
      <c r="BX111" t="str">
        <f>""</f>
        <v/>
      </c>
      <c r="BY111" t="str">
        <f>""</f>
        <v/>
      </c>
      <c r="BZ111" t="str">
        <f>""</f>
        <v/>
      </c>
      <c r="CA111" t="str">
        <f>""</f>
        <v/>
      </c>
      <c r="CB111" t="str">
        <f>""</f>
        <v/>
      </c>
      <c r="CC111" t="str">
        <f>""</f>
        <v/>
      </c>
      <c r="CD111" t="str">
        <f>""</f>
        <v/>
      </c>
      <c r="CE111" t="str">
        <f>""</f>
        <v/>
      </c>
      <c r="CF111" t="str">
        <f>""</f>
        <v/>
      </c>
      <c r="CG111" t="str">
        <f>""</f>
        <v/>
      </c>
      <c r="CH111" t="str">
        <f>""</f>
        <v/>
      </c>
      <c r="CI111" t="str">
        <f>""</f>
        <v/>
      </c>
      <c r="CJ111" t="str">
        <f>""</f>
        <v/>
      </c>
      <c r="CK111" t="str">
        <f>""</f>
        <v/>
      </c>
      <c r="CL111" t="str">
        <f>""</f>
        <v/>
      </c>
      <c r="CM111" t="str">
        <f>""</f>
        <v/>
      </c>
      <c r="CN111" t="str">
        <f>""</f>
        <v/>
      </c>
      <c r="CO111" t="str">
        <f>""</f>
        <v/>
      </c>
      <c r="CP111" t="str">
        <f>""</f>
        <v/>
      </c>
      <c r="CQ111" t="str">
        <f>""</f>
        <v/>
      </c>
      <c r="CR111" t="str">
        <f>""</f>
        <v/>
      </c>
      <c r="CS111" t="str">
        <f>""</f>
        <v/>
      </c>
      <c r="CT111" t="str">
        <f>""</f>
        <v/>
      </c>
      <c r="CU111" t="str">
        <f>""</f>
        <v/>
      </c>
      <c r="CV111" t="str">
        <f>""</f>
        <v/>
      </c>
      <c r="CW111" t="str">
        <f>""</f>
        <v/>
      </c>
      <c r="CX111" t="str">
        <f>""</f>
        <v/>
      </c>
      <c r="CY111" t="str">
        <f>""</f>
        <v/>
      </c>
      <c r="CZ111" t="str">
        <f>""</f>
        <v/>
      </c>
      <c r="DA111" t="str">
        <f>""</f>
        <v/>
      </c>
      <c r="DB111" t="str">
        <f>""</f>
        <v/>
      </c>
      <c r="DC111" t="str">
        <f>""</f>
        <v/>
      </c>
      <c r="DD111" t="str">
        <f>""</f>
        <v/>
      </c>
      <c r="DE111" t="str">
        <f>""</f>
        <v/>
      </c>
      <c r="DF111" t="str">
        <f>""</f>
        <v/>
      </c>
      <c r="DG111" t="str">
        <f>""</f>
        <v/>
      </c>
      <c r="DH111" t="str">
        <f>""</f>
        <v/>
      </c>
      <c r="DI111" t="str">
        <f>""</f>
        <v/>
      </c>
      <c r="DJ111" t="str">
        <f>""</f>
        <v/>
      </c>
      <c r="DK111" t="str">
        <f>""</f>
        <v/>
      </c>
      <c r="DL111" t="str">
        <f>""</f>
        <v/>
      </c>
      <c r="DM111" t="str">
        <f>""</f>
        <v/>
      </c>
      <c r="DN111" t="str">
        <f>""</f>
        <v/>
      </c>
      <c r="DO111" t="str">
        <f>""</f>
        <v/>
      </c>
      <c r="DP111" t="str">
        <f>""</f>
        <v/>
      </c>
      <c r="DQ111" t="str">
        <f>""</f>
        <v/>
      </c>
      <c r="DR111" t="str">
        <f>""</f>
        <v/>
      </c>
      <c r="DS111" t="str">
        <f>""</f>
        <v/>
      </c>
    </row>
    <row r="112" spans="1:123" x14ac:dyDescent="0.25">
      <c r="A112" t="str">
        <f>"BDH dynamic result1"</f>
        <v>BDH dynamic result1</v>
      </c>
      <c r="BM112" t="str">
        <f>""</f>
        <v/>
      </c>
      <c r="BN112" t="str">
        <f>""</f>
        <v/>
      </c>
      <c r="BO112" t="str">
        <f>""</f>
        <v/>
      </c>
      <c r="BP112" t="str">
        <f>""</f>
        <v/>
      </c>
      <c r="BQ112" t="str">
        <f>""</f>
        <v/>
      </c>
      <c r="BR112" t="str">
        <f>""</f>
        <v/>
      </c>
      <c r="BS112" t="str">
        <f>""</f>
        <v/>
      </c>
      <c r="BT112" t="str">
        <f>""</f>
        <v/>
      </c>
      <c r="BU112" t="str">
        <f>""</f>
        <v/>
      </c>
      <c r="BV112" t="str">
        <f>""</f>
        <v/>
      </c>
      <c r="BW112" t="str">
        <f>""</f>
        <v/>
      </c>
      <c r="BX112" t="str">
        <f>""</f>
        <v/>
      </c>
      <c r="BY112" t="str">
        <f>""</f>
        <v/>
      </c>
      <c r="BZ112" t="str">
        <f>""</f>
        <v/>
      </c>
      <c r="CA112" t="str">
        <f>""</f>
        <v/>
      </c>
      <c r="CB112" t="str">
        <f>""</f>
        <v/>
      </c>
      <c r="CC112" t="str">
        <f>""</f>
        <v/>
      </c>
      <c r="CD112" t="str">
        <f>""</f>
        <v/>
      </c>
      <c r="CE112" t="str">
        <f>""</f>
        <v/>
      </c>
      <c r="CF112" t="str">
        <f>""</f>
        <v/>
      </c>
      <c r="CG112" t="str">
        <f>""</f>
        <v/>
      </c>
      <c r="CH112" t="str">
        <f>""</f>
        <v/>
      </c>
      <c r="CI112" t="str">
        <f>""</f>
        <v/>
      </c>
      <c r="CJ112" t="str">
        <f>""</f>
        <v/>
      </c>
      <c r="CK112" t="str">
        <f>""</f>
        <v/>
      </c>
      <c r="CL112" t="str">
        <f>""</f>
        <v/>
      </c>
      <c r="CM112" t="str">
        <f>""</f>
        <v/>
      </c>
      <c r="CN112" t="str">
        <f>""</f>
        <v/>
      </c>
      <c r="CO112" t="str">
        <f>""</f>
        <v/>
      </c>
      <c r="CP112" t="str">
        <f>""</f>
        <v/>
      </c>
      <c r="CQ112" t="str">
        <f>""</f>
        <v/>
      </c>
      <c r="CR112" t="str">
        <f>""</f>
        <v/>
      </c>
      <c r="CS112" t="str">
        <f>""</f>
        <v/>
      </c>
      <c r="CT112" t="str">
        <f>""</f>
        <v/>
      </c>
      <c r="CU112" t="str">
        <f>""</f>
        <v/>
      </c>
      <c r="CV112" t="str">
        <f>""</f>
        <v/>
      </c>
      <c r="CW112" t="str">
        <f>""</f>
        <v/>
      </c>
      <c r="CX112" t="str">
        <f>""</f>
        <v/>
      </c>
      <c r="CY112" t="str">
        <f>""</f>
        <v/>
      </c>
      <c r="CZ112" t="str">
        <f>""</f>
        <v/>
      </c>
      <c r="DA112" t="str">
        <f>""</f>
        <v/>
      </c>
      <c r="DB112" t="str">
        <f>""</f>
        <v/>
      </c>
      <c r="DC112" t="str">
        <f>""</f>
        <v/>
      </c>
      <c r="DD112" t="str">
        <f>""</f>
        <v/>
      </c>
      <c r="DE112" t="str">
        <f>""</f>
        <v/>
      </c>
      <c r="DF112" t="str">
        <f>""</f>
        <v/>
      </c>
      <c r="DG112" t="str">
        <f>""</f>
        <v/>
      </c>
      <c r="DH112" t="str">
        <f>""</f>
        <v/>
      </c>
      <c r="DI112" t="str">
        <f>""</f>
        <v/>
      </c>
      <c r="DJ112" t="str">
        <f>""</f>
        <v/>
      </c>
      <c r="DK112" t="str">
        <f>""</f>
        <v/>
      </c>
      <c r="DL112" t="str">
        <f>""</f>
        <v/>
      </c>
      <c r="DM112" t="str">
        <f>""</f>
        <v/>
      </c>
      <c r="DN112" t="str">
        <f>""</f>
        <v/>
      </c>
      <c r="DO112" t="str">
        <f>""</f>
        <v/>
      </c>
      <c r="DP112" t="str">
        <f>""</f>
        <v/>
      </c>
      <c r="DQ112" t="str">
        <f>""</f>
        <v/>
      </c>
      <c r="DR112" t="str">
        <f>""</f>
        <v/>
      </c>
      <c r="DS112" t="str">
        <f>""</f>
        <v/>
      </c>
    </row>
    <row r="113" spans="1:123" x14ac:dyDescent="0.25">
      <c r="A113" t="str">
        <f>"BDH dynamic header2"</f>
        <v>BDH dynamic header2</v>
      </c>
      <c r="B113">
        <f ca="1">IF(OR(ISERROR($C$113),ISBLANK($C$113),ISNUMBER(SEARCH("N/A",$C$113) ),ISERROR($C$114),ISBLANK($C$114)),0,1)</f>
        <v>0</v>
      </c>
      <c r="C113" t="str">
        <f ca="1">_xll.BDH($B$5,$C$5,$B$51,$B$52,"PER=CQ","Dts=S","DtFmt=FI", "rows=2","Dir=H","Points=59","Sort=R","Days=A","Fill=B","FX=USD" )</f>
        <v>#N/A Connection</v>
      </c>
      <c r="BM113" t="str">
        <f>""</f>
        <v/>
      </c>
      <c r="BN113" t="str">
        <f>""</f>
        <v/>
      </c>
      <c r="BO113" t="str">
        <f>""</f>
        <v/>
      </c>
      <c r="BP113" t="str">
        <f>""</f>
        <v/>
      </c>
      <c r="BQ113" t="str">
        <f>""</f>
        <v/>
      </c>
      <c r="BR113" t="str">
        <f>""</f>
        <v/>
      </c>
      <c r="BS113" t="str">
        <f>""</f>
        <v/>
      </c>
      <c r="BT113" t="str">
        <f>""</f>
        <v/>
      </c>
      <c r="BU113" t="str">
        <f>""</f>
        <v/>
      </c>
      <c r="BV113" t="str">
        <f>""</f>
        <v/>
      </c>
      <c r="BW113" t="str">
        <f>""</f>
        <v/>
      </c>
      <c r="BX113" t="str">
        <f>""</f>
        <v/>
      </c>
      <c r="BY113" t="str">
        <f>""</f>
        <v/>
      </c>
      <c r="BZ113" t="str">
        <f>""</f>
        <v/>
      </c>
      <c r="CA113" t="str">
        <f>""</f>
        <v/>
      </c>
      <c r="CB113" t="str">
        <f>""</f>
        <v/>
      </c>
      <c r="CC113" t="str">
        <f>""</f>
        <v/>
      </c>
      <c r="CD113" t="str">
        <f>""</f>
        <v/>
      </c>
      <c r="CE113" t="str">
        <f>""</f>
        <v/>
      </c>
      <c r="CF113" t="str">
        <f>""</f>
        <v/>
      </c>
      <c r="CG113" t="str">
        <f>""</f>
        <v/>
      </c>
      <c r="CH113" t="str">
        <f>""</f>
        <v/>
      </c>
      <c r="CI113" t="str">
        <f>""</f>
        <v/>
      </c>
      <c r="CJ113" t="str">
        <f>""</f>
        <v/>
      </c>
      <c r="CK113" t="str">
        <f>""</f>
        <v/>
      </c>
      <c r="CL113" t="str">
        <f>""</f>
        <v/>
      </c>
      <c r="CM113" t="str">
        <f>""</f>
        <v/>
      </c>
      <c r="CN113" t="str">
        <f>""</f>
        <v/>
      </c>
      <c r="CO113" t="str">
        <f>""</f>
        <v/>
      </c>
      <c r="CP113" t="str">
        <f>""</f>
        <v/>
      </c>
      <c r="CQ113" t="str">
        <f>""</f>
        <v/>
      </c>
      <c r="CR113" t="str">
        <f>""</f>
        <v/>
      </c>
      <c r="CS113" t="str">
        <f>""</f>
        <v/>
      </c>
      <c r="CT113" t="str">
        <f>""</f>
        <v/>
      </c>
      <c r="CU113" t="str">
        <f>""</f>
        <v/>
      </c>
      <c r="CV113" t="str">
        <f>""</f>
        <v/>
      </c>
      <c r="CW113" t="str">
        <f>""</f>
        <v/>
      </c>
      <c r="CX113" t="str">
        <f>""</f>
        <v/>
      </c>
      <c r="CY113" t="str">
        <f>""</f>
        <v/>
      </c>
      <c r="CZ113" t="str">
        <f>""</f>
        <v/>
      </c>
      <c r="DA113" t="str">
        <f>""</f>
        <v/>
      </c>
      <c r="DB113" t="str">
        <f>""</f>
        <v/>
      </c>
      <c r="DC113" t="str">
        <f>""</f>
        <v/>
      </c>
      <c r="DD113" t="str">
        <f>""</f>
        <v/>
      </c>
      <c r="DE113" t="str">
        <f>""</f>
        <v/>
      </c>
      <c r="DF113" t="str">
        <f>""</f>
        <v/>
      </c>
      <c r="DG113" t="str">
        <f>""</f>
        <v/>
      </c>
      <c r="DH113" t="str">
        <f>""</f>
        <v/>
      </c>
      <c r="DI113" t="str">
        <f>""</f>
        <v/>
      </c>
      <c r="DJ113" t="str">
        <f>""</f>
        <v/>
      </c>
      <c r="DK113" t="str">
        <f>""</f>
        <v/>
      </c>
      <c r="DL113" t="str">
        <f>""</f>
        <v/>
      </c>
      <c r="DM113" t="str">
        <f>""</f>
        <v/>
      </c>
      <c r="DN113" t="str">
        <f>""</f>
        <v/>
      </c>
      <c r="DO113" t="str">
        <f>""</f>
        <v/>
      </c>
      <c r="DP113" t="str">
        <f>""</f>
        <v/>
      </c>
      <c r="DQ113" t="str">
        <f>""</f>
        <v/>
      </c>
      <c r="DR113" t="str">
        <f>""</f>
        <v/>
      </c>
      <c r="DS113" t="str">
        <f>""</f>
        <v/>
      </c>
    </row>
    <row r="114" spans="1:123" x14ac:dyDescent="0.25">
      <c r="A114" t="str">
        <f>"BDH dynamic result2"</f>
        <v>BDH dynamic result2</v>
      </c>
      <c r="BM114" t="str">
        <f>""</f>
        <v/>
      </c>
      <c r="BN114" t="str">
        <f>""</f>
        <v/>
      </c>
      <c r="BO114" t="str">
        <f>""</f>
        <v/>
      </c>
      <c r="BP114" t="str">
        <f>""</f>
        <v/>
      </c>
      <c r="BQ114" t="str">
        <f>""</f>
        <v/>
      </c>
      <c r="BR114" t="str">
        <f>""</f>
        <v/>
      </c>
      <c r="BS114" t="str">
        <f>""</f>
        <v/>
      </c>
      <c r="BT114" t="str">
        <f>""</f>
        <v/>
      </c>
      <c r="BU114" t="str">
        <f>""</f>
        <v/>
      </c>
      <c r="BV114" t="str">
        <f>""</f>
        <v/>
      </c>
      <c r="BW114" t="str">
        <f>""</f>
        <v/>
      </c>
      <c r="BX114" t="str">
        <f>""</f>
        <v/>
      </c>
      <c r="BY114" t="str">
        <f>""</f>
        <v/>
      </c>
      <c r="BZ114" t="str">
        <f>""</f>
        <v/>
      </c>
      <c r="CA114" t="str">
        <f>""</f>
        <v/>
      </c>
      <c r="CB114" t="str">
        <f>""</f>
        <v/>
      </c>
      <c r="CC114" t="str">
        <f>""</f>
        <v/>
      </c>
      <c r="CD114" t="str">
        <f>""</f>
        <v/>
      </c>
      <c r="CE114" t="str">
        <f>""</f>
        <v/>
      </c>
      <c r="CF114" t="str">
        <f>""</f>
        <v/>
      </c>
      <c r="CG114" t="str">
        <f>""</f>
        <v/>
      </c>
      <c r="CH114" t="str">
        <f>""</f>
        <v/>
      </c>
      <c r="CI114" t="str">
        <f>""</f>
        <v/>
      </c>
      <c r="CJ114" t="str">
        <f>""</f>
        <v/>
      </c>
      <c r="CK114" t="str">
        <f>""</f>
        <v/>
      </c>
      <c r="CL114" t="str">
        <f>""</f>
        <v/>
      </c>
      <c r="CM114" t="str">
        <f>""</f>
        <v/>
      </c>
      <c r="CN114" t="str">
        <f>""</f>
        <v/>
      </c>
      <c r="CO114" t="str">
        <f>""</f>
        <v/>
      </c>
      <c r="CP114" t="str">
        <f>""</f>
        <v/>
      </c>
      <c r="CQ114" t="str">
        <f>""</f>
        <v/>
      </c>
      <c r="CR114" t="str">
        <f>""</f>
        <v/>
      </c>
      <c r="CS114" t="str">
        <f>""</f>
        <v/>
      </c>
      <c r="CT114" t="str">
        <f>""</f>
        <v/>
      </c>
      <c r="CU114" t="str">
        <f>""</f>
        <v/>
      </c>
      <c r="CV114" t="str">
        <f>""</f>
        <v/>
      </c>
      <c r="CW114" t="str">
        <f>""</f>
        <v/>
      </c>
      <c r="CX114" t="str">
        <f>""</f>
        <v/>
      </c>
      <c r="CY114" t="str">
        <f>""</f>
        <v/>
      </c>
      <c r="CZ114" t="str">
        <f>""</f>
        <v/>
      </c>
      <c r="DA114" t="str">
        <f>""</f>
        <v/>
      </c>
      <c r="DB114" t="str">
        <f>""</f>
        <v/>
      </c>
      <c r="DC114" t="str">
        <f>""</f>
        <v/>
      </c>
      <c r="DD114" t="str">
        <f>""</f>
        <v/>
      </c>
      <c r="DE114" t="str">
        <f>""</f>
        <v/>
      </c>
      <c r="DF114" t="str">
        <f>""</f>
        <v/>
      </c>
      <c r="DG114" t="str">
        <f>""</f>
        <v/>
      </c>
      <c r="DH114" t="str">
        <f>""</f>
        <v/>
      </c>
      <c r="DI114" t="str">
        <f>""</f>
        <v/>
      </c>
      <c r="DJ114" t="str">
        <f>""</f>
        <v/>
      </c>
      <c r="DK114" t="str">
        <f>""</f>
        <v/>
      </c>
      <c r="DL114" t="str">
        <f>""</f>
        <v/>
      </c>
      <c r="DM114" t="str">
        <f>""</f>
        <v/>
      </c>
      <c r="DN114" t="str">
        <f>""</f>
        <v/>
      </c>
      <c r="DO114" t="str">
        <f>""</f>
        <v/>
      </c>
      <c r="DP114" t="str">
        <f>""</f>
        <v/>
      </c>
      <c r="DQ114" t="str">
        <f>""</f>
        <v/>
      </c>
      <c r="DR114" t="str">
        <f>""</f>
        <v/>
      </c>
      <c r="DS114" t="str">
        <f>""</f>
        <v/>
      </c>
    </row>
    <row r="115" spans="1:123" x14ac:dyDescent="0.25">
      <c r="A115" t="str">
        <f>"BDH dynamic"</f>
        <v>BDH dynamic</v>
      </c>
      <c r="B115">
        <f ca="1">IF($B$109&gt;=1,$B$109,IF($B$111&gt;=1,$B$111,IF($B$113&gt;=1,$B$113,$B$100)))</f>
        <v>2</v>
      </c>
      <c r="C115" t="str">
        <f ca="1">IF($B$109&gt;=1,$C$109,IF($B$111&gt;=1,$C$111,IF($B$113&gt;=1,$C$113,$C$100)))</f>
        <v>2018 Q4</v>
      </c>
      <c r="D115" t="str">
        <f ca="1">IF($B$109&gt;=1,$D$109,IF($B$111&gt;=1,$D$111,IF($B$113&gt;=1,$D$113,$D$100)))</f>
        <v>2018 Q3</v>
      </c>
      <c r="E115" t="str">
        <f ca="1">IF($B$109&gt;=1,$E$109,IF($B$111&gt;=1,$E$111,IF($B$113&gt;=1,$E$113,$E$100)))</f>
        <v>2018 Q2</v>
      </c>
      <c r="F115" t="str">
        <f ca="1">IF($B$109&gt;=1,$F$109,IF($B$111&gt;=1,$F$111,IF($B$113&gt;=1,$F$113,$F$100)))</f>
        <v>2018 Q1</v>
      </c>
      <c r="G115" t="str">
        <f ca="1">IF($B$109&gt;=1,$G$109,IF($B$111&gt;=1,$G$111,IF($B$113&gt;=1,$G$113,$G$100)))</f>
        <v>2017 Q4</v>
      </c>
      <c r="H115" t="str">
        <f ca="1">IF($B$109&gt;=1,$H$109,IF($B$111&gt;=1,$H$111,IF($B$113&gt;=1,$H$113,$H$100)))</f>
        <v>2017 Q3</v>
      </c>
      <c r="I115" t="str">
        <f ca="1">IF($B$109&gt;=1,$I$109,IF($B$111&gt;=1,$I$111,IF($B$113&gt;=1,$I$113,$I$100)))</f>
        <v>2017 Q2</v>
      </c>
      <c r="J115" t="str">
        <f ca="1">IF($B$109&gt;=1,$J$109,IF($B$111&gt;=1,$J$111,IF($B$113&gt;=1,$J$113,$J$100)))</f>
        <v>2017 Q1</v>
      </c>
      <c r="K115" t="str">
        <f ca="1">IF($B$109&gt;=1,$K$109,IF($B$111&gt;=1,$K$111,IF($B$113&gt;=1,$K$113,$K$100)))</f>
        <v>2016 Q4</v>
      </c>
      <c r="L115" t="str">
        <f ca="1">IF($B$109&gt;=1,$L$109,IF($B$111&gt;=1,$L$111,IF($B$113&gt;=1,$L$113,$L$100)))</f>
        <v>2016 Q3</v>
      </c>
      <c r="M115" t="str">
        <f ca="1">IF($B$109&gt;=1,$M$109,IF($B$111&gt;=1,$M$111,IF($B$113&gt;=1,$M$113,$M$100)))</f>
        <v>2016 Q2</v>
      </c>
      <c r="N115" t="str">
        <f ca="1">IF($B$109&gt;=1,$N$109,IF($B$111&gt;=1,$N$111,IF($B$113&gt;=1,$N$113,$N$100)))</f>
        <v>2016 Q1</v>
      </c>
      <c r="O115" t="str">
        <f ca="1">IF($B$109&gt;=1,$O$109,IF($B$111&gt;=1,$O$111,IF($B$113&gt;=1,$O$113,$O$100)))</f>
        <v>2015 Q4</v>
      </c>
      <c r="P115" t="str">
        <f ca="1">IF($B$109&gt;=1,$P$109,IF($B$111&gt;=1,$P$111,IF($B$113&gt;=1,$P$113,$P$100)))</f>
        <v>2015 Q3</v>
      </c>
      <c r="Q115" t="str">
        <f ca="1">IF($B$109&gt;=1,$Q$109,IF($B$111&gt;=1,$Q$111,IF($B$113&gt;=1,$Q$113,$Q$100)))</f>
        <v>2015 Q2</v>
      </c>
      <c r="R115" t="str">
        <f ca="1">IF($B$109&gt;=1,$R$109,IF($B$111&gt;=1,$R$111,IF($B$113&gt;=1,$R$113,$R$100)))</f>
        <v>2015 Q1</v>
      </c>
      <c r="S115" t="str">
        <f ca="1">IF($B$109&gt;=1,$S$109,IF($B$111&gt;=1,$S$111,IF($B$113&gt;=1,$S$113,$S$100)))</f>
        <v>2014 Q4</v>
      </c>
      <c r="T115" t="str">
        <f ca="1">IF($B$109&gt;=1,$T$109,IF($B$111&gt;=1,$T$111,IF($B$113&gt;=1,$T$113,$T$100)))</f>
        <v>2014 Q3</v>
      </c>
      <c r="U115" t="str">
        <f ca="1">IF($B$109&gt;=1,$U$109,IF($B$111&gt;=1,$U$111,IF($B$113&gt;=1,$U$113,$U$100)))</f>
        <v>2014 Q2</v>
      </c>
      <c r="V115" t="str">
        <f ca="1">IF($B$109&gt;=1,$V$109,IF($B$111&gt;=1,$V$111,IF($B$113&gt;=1,$V$113,$V$100)))</f>
        <v>2014 Q1</v>
      </c>
      <c r="W115" t="str">
        <f ca="1">IF($B$109&gt;=1,$W$109,IF($B$111&gt;=1,$W$111,IF($B$113&gt;=1,$W$113,$W$100)))</f>
        <v>2013 Q4</v>
      </c>
      <c r="X115" t="str">
        <f ca="1">IF($B$109&gt;=1,$X$109,IF($B$111&gt;=1,$X$111,IF($B$113&gt;=1,$X$113,$X$100)))</f>
        <v>2013 Q3</v>
      </c>
      <c r="Y115" t="str">
        <f ca="1">IF($B$109&gt;=1,$Y$109,IF($B$111&gt;=1,$Y$111,IF($B$113&gt;=1,$Y$113,$Y$100)))</f>
        <v>2013 Q2</v>
      </c>
      <c r="Z115" t="str">
        <f ca="1">IF($B$109&gt;=1,$Z$109,IF($B$111&gt;=1,$Z$111,IF($B$113&gt;=1,$Z$113,$Z$100)))</f>
        <v>2013 Q1</v>
      </c>
      <c r="AA115" t="str">
        <f ca="1">IF($B$109&gt;=1,$AA$109,IF($B$111&gt;=1,$AA$111,IF($B$113&gt;=1,$AA$113,$AA$100)))</f>
        <v>2012 Q4</v>
      </c>
      <c r="AB115" t="str">
        <f ca="1">IF($B$109&gt;=1,$AB$109,IF($B$111&gt;=1,$AB$111,IF($B$113&gt;=1,$AB$113,$AB$100)))</f>
        <v>2012 Q3</v>
      </c>
      <c r="AC115" t="str">
        <f ca="1">IF($B$109&gt;=1,$AC$109,IF($B$111&gt;=1,$AC$111,IF($B$113&gt;=1,$AC$113,$AC$100)))</f>
        <v>2012 Q2</v>
      </c>
      <c r="AD115" t="str">
        <f ca="1">IF($B$109&gt;=1,$AD$109,IF($B$111&gt;=1,$AD$111,IF($B$113&gt;=1,$AD$113,$AD$100)))</f>
        <v>2012 Q1</v>
      </c>
      <c r="AE115" t="str">
        <f ca="1">IF($B$109&gt;=1,$AE$109,IF($B$111&gt;=1,$AE$111,IF($B$113&gt;=1,$AE$113,$AE$100)))</f>
        <v>2011 Q4</v>
      </c>
      <c r="AF115" t="str">
        <f ca="1">IF($B$109&gt;=1,$AF$109,IF($B$111&gt;=1,$AF$111,IF($B$113&gt;=1,$AF$113,$AF$100)))</f>
        <v>2011 Q3</v>
      </c>
      <c r="AG115" t="str">
        <f ca="1">IF($B$109&gt;=1,$AG$109,IF($B$111&gt;=1,$AG$111,IF($B$113&gt;=1,$AG$113,$AG$100)))</f>
        <v>2011 Q2</v>
      </c>
      <c r="AH115" t="str">
        <f ca="1">IF($B$109&gt;=1,$AH$109,IF($B$111&gt;=1,$AH$111,IF($B$113&gt;=1,$AH$113,$AH$100)))</f>
        <v>2011 Q1</v>
      </c>
      <c r="AI115" t="str">
        <f ca="1">IF($B$109&gt;=1,$AI$109,IF($B$111&gt;=1,$AI$111,IF($B$113&gt;=1,$AI$113,$AI$100)))</f>
        <v>2010 Q4</v>
      </c>
      <c r="AJ115" t="str">
        <f ca="1">IF($B$109&gt;=1,$AJ$109,IF($B$111&gt;=1,$AJ$111,IF($B$113&gt;=1,$AJ$113,$AJ$100)))</f>
        <v>2010 Q3</v>
      </c>
      <c r="AK115" t="str">
        <f ca="1">IF($B$109&gt;=1,$AK$109,IF($B$111&gt;=1,$AK$111,IF($B$113&gt;=1,$AK$113,$AK$100)))</f>
        <v>2010 Q2</v>
      </c>
      <c r="AL115" t="str">
        <f ca="1">IF($B$109&gt;=1,$AL$109,IF($B$111&gt;=1,$AL$111,IF($B$113&gt;=1,$AL$113,$AL$100)))</f>
        <v>2010 Q1</v>
      </c>
      <c r="AM115" t="str">
        <f ca="1">IF($B$109&gt;=1,$AM$109,IF($B$111&gt;=1,$AM$111,IF($B$113&gt;=1,$AM$113,$AM$100)))</f>
        <v>2009 Q4</v>
      </c>
      <c r="AN115" t="str">
        <f ca="1">IF($B$109&gt;=1,$AN$109,IF($B$111&gt;=1,$AN$111,IF($B$113&gt;=1,$AN$113,$AN$100)))</f>
        <v>2009 Q3</v>
      </c>
      <c r="AO115" t="str">
        <f ca="1">IF($B$109&gt;=1,$AO$109,IF($B$111&gt;=1,$AO$111,IF($B$113&gt;=1,$AO$113,$AO$100)))</f>
        <v>2009 Q2</v>
      </c>
      <c r="AP115" t="str">
        <f ca="1">IF($B$109&gt;=1,$AP$109,IF($B$111&gt;=1,$AP$111,IF($B$113&gt;=1,$AP$113,$AP$100)))</f>
        <v>2009 Q1</v>
      </c>
      <c r="AQ115" t="str">
        <f ca="1">IF($B$109&gt;=1,$AQ$109,IF($B$111&gt;=1,$AQ$111,IF($B$113&gt;=1,$AQ$113,$AQ$100)))</f>
        <v>2008 Q4</v>
      </c>
      <c r="AR115" t="str">
        <f ca="1">IF($B$109&gt;=1,$AR$109,IF($B$111&gt;=1,$AR$111,IF($B$113&gt;=1,$AR$113,$AR$100)))</f>
        <v>2008 Q3</v>
      </c>
      <c r="AS115" t="str">
        <f ca="1">IF($B$109&gt;=1,$AS$109,IF($B$111&gt;=1,$AS$111,IF($B$113&gt;=1,$AS$113,$AS$100)))</f>
        <v>2008 Q2</v>
      </c>
      <c r="AT115" t="str">
        <f ca="1">IF($B$109&gt;=1,$AT$109,IF($B$111&gt;=1,$AT$111,IF($B$113&gt;=1,$AT$113,$AT$100)))</f>
        <v>2008 Q1</v>
      </c>
      <c r="AU115" t="str">
        <f ca="1">IF($B$109&gt;=1,$AU$109,IF($B$111&gt;=1,$AU$111,IF($B$113&gt;=1,$AU$113,$AU$100)))</f>
        <v>2007 Q4</v>
      </c>
      <c r="AV115" t="str">
        <f ca="1">IF($B$109&gt;=1,$AV$109,IF($B$111&gt;=1,$AV$111,IF($B$113&gt;=1,$AV$113,$AV$100)))</f>
        <v>2007 Q3</v>
      </c>
      <c r="AW115" t="str">
        <f ca="1">IF($B$109&gt;=1,$AW$109,IF($B$111&gt;=1,$AW$111,IF($B$113&gt;=1,$AW$113,$AW$100)))</f>
        <v>2007 Q2</v>
      </c>
      <c r="AX115" t="str">
        <f ca="1">IF($B$109&gt;=1,$AX$109,IF($B$111&gt;=1,$AX$111,IF($B$113&gt;=1,$AX$113,$AX$100)))</f>
        <v>2007 Q1</v>
      </c>
      <c r="AY115" t="str">
        <f ca="1">IF($B$109&gt;=1,$AY$109,IF($B$111&gt;=1,$AY$111,IF($B$113&gt;=1,$AY$113,$AY$100)))</f>
        <v>2006 Q4</v>
      </c>
      <c r="AZ115" t="str">
        <f ca="1">IF($B$109&gt;=1,$AZ$109,IF($B$111&gt;=1,$AZ$111,IF($B$113&gt;=1,$AZ$113,$AZ$100)))</f>
        <v>2006 Q3</v>
      </c>
      <c r="BA115" t="str">
        <f ca="1">IF($B$109&gt;=1,$BA$109,IF($B$111&gt;=1,$BA$111,IF($B$113&gt;=1,$BA$113,$BA$100)))</f>
        <v>2006 Q2</v>
      </c>
      <c r="BB115" t="str">
        <f ca="1">IF($B$109&gt;=1,$BB$109,IF($B$111&gt;=1,$BB$111,IF($B$113&gt;=1,$BB$113,$BB$100)))</f>
        <v>2006 Q1</v>
      </c>
      <c r="BC115" t="str">
        <f ca="1">IF($B$109&gt;=1,$BC$109,IF($B$111&gt;=1,$BC$111,IF($B$113&gt;=1,$BC$113,$BC$100)))</f>
        <v>2005 Q4</v>
      </c>
      <c r="BD115" t="str">
        <f ca="1">IF($B$109&gt;=1,$BD$109,IF($B$111&gt;=1,$BD$111,IF($B$113&gt;=1,$BD$113,$BD$100)))</f>
        <v>2005 Q3</v>
      </c>
      <c r="BE115" t="str">
        <f ca="1">IF($B$109&gt;=1,$BE$109,IF($B$111&gt;=1,$BE$111,IF($B$113&gt;=1,$BE$113,$BE$100)))</f>
        <v>2005 Q2</v>
      </c>
      <c r="BF115" t="str">
        <f ca="1">IF($B$109&gt;=1,$BF$109,IF($B$111&gt;=1,$BF$111,IF($B$113&gt;=1,$BF$113,$BF$100)))</f>
        <v>2005 Q1</v>
      </c>
      <c r="BG115" t="str">
        <f ca="1">IF($B$109&gt;=1,$BG$109,IF($B$111&gt;=1,$BG$111,IF($B$113&gt;=1,$BG$113,$BG$100)))</f>
        <v>2004 Q4</v>
      </c>
      <c r="BH115" t="str">
        <f ca="1">IF($B$109&gt;=1,$BH$109,IF($B$111&gt;=1,$BH$111,IF($B$113&gt;=1,$BH$113,$BH$100)))</f>
        <v>2004 Q3</v>
      </c>
      <c r="BI115" t="str">
        <f ca="1">IF($B$109&gt;=1,$BI$109,IF($B$111&gt;=1,$BI$111,IF($B$113&gt;=1,$BI$113,$BI$100)))</f>
        <v>2004 Q2</v>
      </c>
      <c r="BM115" t="str">
        <f>""</f>
        <v/>
      </c>
      <c r="BN115" t="str">
        <f>""</f>
        <v/>
      </c>
      <c r="BO115" t="str">
        <f>""</f>
        <v/>
      </c>
      <c r="BP115" t="str">
        <f>""</f>
        <v/>
      </c>
      <c r="BQ115" t="str">
        <f>""</f>
        <v/>
      </c>
      <c r="BR115" t="str">
        <f>""</f>
        <v/>
      </c>
      <c r="BS115" t="str">
        <f>""</f>
        <v/>
      </c>
      <c r="BT115" t="str">
        <f>""</f>
        <v/>
      </c>
      <c r="BU115" t="str">
        <f>""</f>
        <v/>
      </c>
      <c r="BV115" t="str">
        <f>""</f>
        <v/>
      </c>
      <c r="BW115" t="str">
        <f>""</f>
        <v/>
      </c>
      <c r="BX115" t="str">
        <f>""</f>
        <v/>
      </c>
      <c r="BY115" t="str">
        <f>""</f>
        <v/>
      </c>
      <c r="BZ115" t="str">
        <f>""</f>
        <v/>
      </c>
      <c r="CA115" t="str">
        <f>""</f>
        <v/>
      </c>
      <c r="CB115" t="str">
        <f>""</f>
        <v/>
      </c>
      <c r="CC115" t="str">
        <f>""</f>
        <v/>
      </c>
      <c r="CD115" t="str">
        <f>""</f>
        <v/>
      </c>
      <c r="CE115" t="str">
        <f>""</f>
        <v/>
      </c>
      <c r="CF115" t="str">
        <f>""</f>
        <v/>
      </c>
      <c r="CG115" t="str">
        <f>""</f>
        <v/>
      </c>
      <c r="CH115" t="str">
        <f>""</f>
        <v/>
      </c>
      <c r="CI115" t="str">
        <f>""</f>
        <v/>
      </c>
      <c r="CJ115" t="str">
        <f>""</f>
        <v/>
      </c>
      <c r="CK115" t="str">
        <f>""</f>
        <v/>
      </c>
      <c r="CL115" t="str">
        <f>""</f>
        <v/>
      </c>
      <c r="CM115" t="str">
        <f>""</f>
        <v/>
      </c>
      <c r="CN115" t="str">
        <f>""</f>
        <v/>
      </c>
      <c r="CO115" t="str">
        <f>""</f>
        <v/>
      </c>
      <c r="CP115" t="str">
        <f>""</f>
        <v/>
      </c>
      <c r="CQ115" t="str">
        <f>""</f>
        <v/>
      </c>
      <c r="CR115" t="str">
        <f>""</f>
        <v/>
      </c>
      <c r="CS115" t="str">
        <f>""</f>
        <v/>
      </c>
      <c r="CT115" t="str">
        <f>""</f>
        <v/>
      </c>
      <c r="CU115" t="str">
        <f>""</f>
        <v/>
      </c>
      <c r="CV115" t="str">
        <f>""</f>
        <v/>
      </c>
      <c r="CW115" t="str">
        <f>""</f>
        <v/>
      </c>
      <c r="CX115" t="str">
        <f>""</f>
        <v/>
      </c>
      <c r="CY115" t="str">
        <f>""</f>
        <v/>
      </c>
      <c r="CZ115" t="str">
        <f>""</f>
        <v/>
      </c>
      <c r="DA115" t="str">
        <f>""</f>
        <v/>
      </c>
      <c r="DB115" t="str">
        <f>""</f>
        <v/>
      </c>
      <c r="DC115" t="str">
        <f>""</f>
        <v/>
      </c>
      <c r="DD115" t="str">
        <f>""</f>
        <v/>
      </c>
      <c r="DE115" t="str">
        <f>""</f>
        <v/>
      </c>
      <c r="DF115" t="str">
        <f>""</f>
        <v/>
      </c>
      <c r="DG115" t="str">
        <f>""</f>
        <v/>
      </c>
      <c r="DH115" t="str">
        <f>""</f>
        <v/>
      </c>
      <c r="DI115" t="str">
        <f>""</f>
        <v/>
      </c>
      <c r="DJ115" t="str">
        <f>""</f>
        <v/>
      </c>
      <c r="DK115" t="str">
        <f>""</f>
        <v/>
      </c>
      <c r="DL115" t="str">
        <f>""</f>
        <v/>
      </c>
      <c r="DM115" t="str">
        <f>""</f>
        <v/>
      </c>
      <c r="DN115" t="str">
        <f>""</f>
        <v/>
      </c>
      <c r="DO115" t="str">
        <f>""</f>
        <v/>
      </c>
      <c r="DP115" t="str">
        <f>""</f>
        <v/>
      </c>
      <c r="DQ115" t="str">
        <f>""</f>
        <v/>
      </c>
      <c r="DR115" t="str">
        <f>""</f>
        <v/>
      </c>
      <c r="DS115" t="str">
        <f>""</f>
        <v/>
      </c>
    </row>
    <row r="116" spans="1:123" x14ac:dyDescent="0.25">
      <c r="A116" t="str">
        <f>"BDH dynamic title"</f>
        <v>BDH dynamic title</v>
      </c>
      <c r="B116">
        <f ca="1">$B$115</f>
        <v>2</v>
      </c>
      <c r="C116" t="str">
        <f ca="1">IF(LEN($C$115)&lt;&gt;8,$C$115,RIGHT($C$115,4)&amp;" "&amp;MID($C$115,3,1)&amp;LEFT($C$115,1))</f>
        <v>2018 Q4</v>
      </c>
      <c r="D116" t="str">
        <f ca="1">IF(LEN($D$115)&lt;&gt;8,$D$115,RIGHT($D$115,4)&amp;" "&amp;MID($D$115,3,1)&amp;LEFT($D$115,1))</f>
        <v>2018 Q3</v>
      </c>
      <c r="E116" t="str">
        <f ca="1">IF(LEN($E$115)&lt;&gt;8,$E$115,RIGHT($E$115,4)&amp;" "&amp;MID($E$115,3,1)&amp;LEFT($E$115,1))</f>
        <v>2018 Q2</v>
      </c>
      <c r="F116" t="str">
        <f ca="1">IF(LEN($F$115)&lt;&gt;8,$F$115,RIGHT($F$115,4)&amp;" "&amp;MID($F$115,3,1)&amp;LEFT($F$115,1))</f>
        <v>2018 Q1</v>
      </c>
      <c r="G116" t="str">
        <f ca="1">IF(LEN($G$115)&lt;&gt;8,$G$115,RIGHT($G$115,4)&amp;" "&amp;MID($G$115,3,1)&amp;LEFT($G$115,1))</f>
        <v>2017 Q4</v>
      </c>
      <c r="H116" t="str">
        <f ca="1">IF(LEN($H$115)&lt;&gt;8,$H$115,RIGHT($H$115,4)&amp;" "&amp;MID($H$115,3,1)&amp;LEFT($H$115,1))</f>
        <v>2017 Q3</v>
      </c>
      <c r="I116" t="str">
        <f ca="1">IF(LEN($I$115)&lt;&gt;8,$I$115,RIGHT($I$115,4)&amp;" "&amp;MID($I$115,3,1)&amp;LEFT($I$115,1))</f>
        <v>2017 Q2</v>
      </c>
      <c r="J116" t="str">
        <f ca="1">IF(LEN($J$115)&lt;&gt;8,$J$115,RIGHT($J$115,4)&amp;" "&amp;MID($J$115,3,1)&amp;LEFT($J$115,1))</f>
        <v>2017 Q1</v>
      </c>
      <c r="K116" t="str">
        <f ca="1">IF(LEN($K$115)&lt;&gt;8,$K$115,RIGHT($K$115,4)&amp;" "&amp;MID($K$115,3,1)&amp;LEFT($K$115,1))</f>
        <v>2016 Q4</v>
      </c>
      <c r="L116" t="str">
        <f ca="1">IF(LEN($L$115)&lt;&gt;8,$L$115,RIGHT($L$115,4)&amp;" "&amp;MID($L$115,3,1)&amp;LEFT($L$115,1))</f>
        <v>2016 Q3</v>
      </c>
      <c r="M116" t="str">
        <f ca="1">IF(LEN($M$115)&lt;&gt;8,$M$115,RIGHT($M$115,4)&amp;" "&amp;MID($M$115,3,1)&amp;LEFT($M$115,1))</f>
        <v>2016 Q2</v>
      </c>
      <c r="N116" t="str">
        <f ca="1">IF(LEN($N$115)&lt;&gt;8,$N$115,RIGHT($N$115,4)&amp;" "&amp;MID($N$115,3,1)&amp;LEFT($N$115,1))</f>
        <v>2016 Q1</v>
      </c>
      <c r="O116" t="str">
        <f ca="1">IF(LEN($O$115)&lt;&gt;8,$O$115,RIGHT($O$115,4)&amp;" "&amp;MID($O$115,3,1)&amp;LEFT($O$115,1))</f>
        <v>2015 Q4</v>
      </c>
      <c r="P116" t="str">
        <f ca="1">IF(LEN($P$115)&lt;&gt;8,$P$115,RIGHT($P$115,4)&amp;" "&amp;MID($P$115,3,1)&amp;LEFT($P$115,1))</f>
        <v>2015 Q3</v>
      </c>
      <c r="Q116" t="str">
        <f ca="1">IF(LEN($Q$115)&lt;&gt;8,$Q$115,RIGHT($Q$115,4)&amp;" "&amp;MID($Q$115,3,1)&amp;LEFT($Q$115,1))</f>
        <v>2015 Q2</v>
      </c>
      <c r="R116" t="str">
        <f ca="1">IF(LEN($R$115)&lt;&gt;8,$R$115,RIGHT($R$115,4)&amp;" "&amp;MID($R$115,3,1)&amp;LEFT($R$115,1))</f>
        <v>2015 Q1</v>
      </c>
      <c r="S116" t="str">
        <f ca="1">IF(LEN($S$115)&lt;&gt;8,$S$115,RIGHT($S$115,4)&amp;" "&amp;MID($S$115,3,1)&amp;LEFT($S$115,1))</f>
        <v>2014 Q4</v>
      </c>
      <c r="T116" t="str">
        <f ca="1">IF(LEN($T$115)&lt;&gt;8,$T$115,RIGHT($T$115,4)&amp;" "&amp;MID($T$115,3,1)&amp;LEFT($T$115,1))</f>
        <v>2014 Q3</v>
      </c>
      <c r="U116" t="str">
        <f ca="1">IF(LEN($U$115)&lt;&gt;8,$U$115,RIGHT($U$115,4)&amp;" "&amp;MID($U$115,3,1)&amp;LEFT($U$115,1))</f>
        <v>2014 Q2</v>
      </c>
      <c r="V116" t="str">
        <f ca="1">IF(LEN($V$115)&lt;&gt;8,$V$115,RIGHT($V$115,4)&amp;" "&amp;MID($V$115,3,1)&amp;LEFT($V$115,1))</f>
        <v>2014 Q1</v>
      </c>
      <c r="W116" t="str">
        <f ca="1">IF(LEN($W$115)&lt;&gt;8,$W$115,RIGHT($W$115,4)&amp;" "&amp;MID($W$115,3,1)&amp;LEFT($W$115,1))</f>
        <v>2013 Q4</v>
      </c>
      <c r="X116" t="str">
        <f ca="1">IF(LEN($X$115)&lt;&gt;8,$X$115,RIGHT($X$115,4)&amp;" "&amp;MID($X$115,3,1)&amp;LEFT($X$115,1))</f>
        <v>2013 Q3</v>
      </c>
      <c r="Y116" t="str">
        <f ca="1">IF(LEN($Y$115)&lt;&gt;8,$Y$115,RIGHT($Y$115,4)&amp;" "&amp;MID($Y$115,3,1)&amp;LEFT($Y$115,1))</f>
        <v>2013 Q2</v>
      </c>
      <c r="Z116" t="str">
        <f ca="1">IF(LEN($Z$115)&lt;&gt;8,$Z$115,RIGHT($Z$115,4)&amp;" "&amp;MID($Z$115,3,1)&amp;LEFT($Z$115,1))</f>
        <v>2013 Q1</v>
      </c>
      <c r="AA116" t="str">
        <f ca="1">IF(LEN($AA$115)&lt;&gt;8,$AA$115,RIGHT($AA$115,4)&amp;" "&amp;MID($AA$115,3,1)&amp;LEFT($AA$115,1))</f>
        <v>2012 Q4</v>
      </c>
      <c r="AB116" t="str">
        <f ca="1">IF(LEN($AB$115)&lt;&gt;8,$AB$115,RIGHT($AB$115,4)&amp;" "&amp;MID($AB$115,3,1)&amp;LEFT($AB$115,1))</f>
        <v>2012 Q3</v>
      </c>
      <c r="AC116" t="str">
        <f ca="1">IF(LEN($AC$115)&lt;&gt;8,$AC$115,RIGHT($AC$115,4)&amp;" "&amp;MID($AC$115,3,1)&amp;LEFT($AC$115,1))</f>
        <v>2012 Q2</v>
      </c>
      <c r="AD116" t="str">
        <f ca="1">IF(LEN($AD$115)&lt;&gt;8,$AD$115,RIGHT($AD$115,4)&amp;" "&amp;MID($AD$115,3,1)&amp;LEFT($AD$115,1))</f>
        <v>2012 Q1</v>
      </c>
      <c r="AE116" t="str">
        <f ca="1">IF(LEN($AE$115)&lt;&gt;8,$AE$115,RIGHT($AE$115,4)&amp;" "&amp;MID($AE$115,3,1)&amp;LEFT($AE$115,1))</f>
        <v>2011 Q4</v>
      </c>
      <c r="AF116" t="str">
        <f ca="1">IF(LEN($AF$115)&lt;&gt;8,$AF$115,RIGHT($AF$115,4)&amp;" "&amp;MID($AF$115,3,1)&amp;LEFT($AF$115,1))</f>
        <v>2011 Q3</v>
      </c>
      <c r="AG116" t="str">
        <f ca="1">IF(LEN($AG$115)&lt;&gt;8,$AG$115,RIGHT($AG$115,4)&amp;" "&amp;MID($AG$115,3,1)&amp;LEFT($AG$115,1))</f>
        <v>2011 Q2</v>
      </c>
      <c r="AH116" t="str">
        <f ca="1">IF(LEN($AH$115)&lt;&gt;8,$AH$115,RIGHT($AH$115,4)&amp;" "&amp;MID($AH$115,3,1)&amp;LEFT($AH$115,1))</f>
        <v>2011 Q1</v>
      </c>
      <c r="AI116" t="str">
        <f ca="1">IF(LEN($AI$115)&lt;&gt;8,$AI$115,RIGHT($AI$115,4)&amp;" "&amp;MID($AI$115,3,1)&amp;LEFT($AI$115,1))</f>
        <v>2010 Q4</v>
      </c>
      <c r="AJ116" t="str">
        <f ca="1">IF(LEN($AJ$115)&lt;&gt;8,$AJ$115,RIGHT($AJ$115,4)&amp;" "&amp;MID($AJ$115,3,1)&amp;LEFT($AJ$115,1))</f>
        <v>2010 Q3</v>
      </c>
      <c r="AK116" t="str">
        <f ca="1">IF(LEN($AK$115)&lt;&gt;8,$AK$115,RIGHT($AK$115,4)&amp;" "&amp;MID($AK$115,3,1)&amp;LEFT($AK$115,1))</f>
        <v>2010 Q2</v>
      </c>
      <c r="AL116" t="str">
        <f ca="1">IF(LEN($AL$115)&lt;&gt;8,$AL$115,RIGHT($AL$115,4)&amp;" "&amp;MID($AL$115,3,1)&amp;LEFT($AL$115,1))</f>
        <v>2010 Q1</v>
      </c>
      <c r="AM116" t="str">
        <f ca="1">IF(LEN($AM$115)&lt;&gt;8,$AM$115,RIGHT($AM$115,4)&amp;" "&amp;MID($AM$115,3,1)&amp;LEFT($AM$115,1))</f>
        <v>2009 Q4</v>
      </c>
      <c r="AN116" t="str">
        <f ca="1">IF(LEN($AN$115)&lt;&gt;8,$AN$115,RIGHT($AN$115,4)&amp;" "&amp;MID($AN$115,3,1)&amp;LEFT($AN$115,1))</f>
        <v>2009 Q3</v>
      </c>
      <c r="AO116" t="str">
        <f ca="1">IF(LEN($AO$115)&lt;&gt;8,$AO$115,RIGHT($AO$115,4)&amp;" "&amp;MID($AO$115,3,1)&amp;LEFT($AO$115,1))</f>
        <v>2009 Q2</v>
      </c>
      <c r="AP116" t="str">
        <f ca="1">IF(LEN($AP$115)&lt;&gt;8,$AP$115,RIGHT($AP$115,4)&amp;" "&amp;MID($AP$115,3,1)&amp;LEFT($AP$115,1))</f>
        <v>2009 Q1</v>
      </c>
      <c r="AQ116" t="str">
        <f ca="1">IF(LEN($AQ$115)&lt;&gt;8,$AQ$115,RIGHT($AQ$115,4)&amp;" "&amp;MID($AQ$115,3,1)&amp;LEFT($AQ$115,1))</f>
        <v>2008 Q4</v>
      </c>
      <c r="AR116" t="str">
        <f ca="1">IF(LEN($AR$115)&lt;&gt;8,$AR$115,RIGHT($AR$115,4)&amp;" "&amp;MID($AR$115,3,1)&amp;LEFT($AR$115,1))</f>
        <v>2008 Q3</v>
      </c>
      <c r="AS116" t="str">
        <f ca="1">IF(LEN($AS$115)&lt;&gt;8,$AS$115,RIGHT($AS$115,4)&amp;" "&amp;MID($AS$115,3,1)&amp;LEFT($AS$115,1))</f>
        <v>2008 Q2</v>
      </c>
      <c r="AT116" t="str">
        <f ca="1">IF(LEN($AT$115)&lt;&gt;8,$AT$115,RIGHT($AT$115,4)&amp;" "&amp;MID($AT$115,3,1)&amp;LEFT($AT$115,1))</f>
        <v>2008 Q1</v>
      </c>
      <c r="AU116" t="str">
        <f ca="1">IF(LEN($AU$115)&lt;&gt;8,$AU$115,RIGHT($AU$115,4)&amp;" "&amp;MID($AU$115,3,1)&amp;LEFT($AU$115,1))</f>
        <v>2007 Q4</v>
      </c>
      <c r="AV116" t="str">
        <f ca="1">IF(LEN($AV$115)&lt;&gt;8,$AV$115,RIGHT($AV$115,4)&amp;" "&amp;MID($AV$115,3,1)&amp;LEFT($AV$115,1))</f>
        <v>2007 Q3</v>
      </c>
      <c r="AW116" t="str">
        <f ca="1">IF(LEN($AW$115)&lt;&gt;8,$AW$115,RIGHT($AW$115,4)&amp;" "&amp;MID($AW$115,3,1)&amp;LEFT($AW$115,1))</f>
        <v>2007 Q2</v>
      </c>
      <c r="AX116" t="str">
        <f ca="1">IF(LEN($AX$115)&lt;&gt;8,$AX$115,RIGHT($AX$115,4)&amp;" "&amp;MID($AX$115,3,1)&amp;LEFT($AX$115,1))</f>
        <v>2007 Q1</v>
      </c>
      <c r="AY116" t="str">
        <f ca="1">IF(LEN($AY$115)&lt;&gt;8,$AY$115,RIGHT($AY$115,4)&amp;" "&amp;MID($AY$115,3,1)&amp;LEFT($AY$115,1))</f>
        <v>2006 Q4</v>
      </c>
      <c r="AZ116" t="str">
        <f ca="1">IF(LEN($AZ$115)&lt;&gt;8,$AZ$115,RIGHT($AZ$115,4)&amp;" "&amp;MID($AZ$115,3,1)&amp;LEFT($AZ$115,1))</f>
        <v>2006 Q3</v>
      </c>
      <c r="BA116" t="str">
        <f ca="1">IF(LEN($BA$115)&lt;&gt;8,$BA$115,RIGHT($BA$115,4)&amp;" "&amp;MID($BA$115,3,1)&amp;LEFT($BA$115,1))</f>
        <v>2006 Q2</v>
      </c>
      <c r="BB116" t="str">
        <f ca="1">IF(LEN($BB$115)&lt;&gt;8,$BB$115,RIGHT($BB$115,4)&amp;" "&amp;MID($BB$115,3,1)&amp;LEFT($BB$115,1))</f>
        <v>2006 Q1</v>
      </c>
      <c r="BC116" t="str">
        <f ca="1">IF(LEN($BC$115)&lt;&gt;8,$BC$115,RIGHT($BC$115,4)&amp;" "&amp;MID($BC$115,3,1)&amp;LEFT($BC$115,1))</f>
        <v>2005 Q4</v>
      </c>
      <c r="BD116" t="str">
        <f ca="1">IF(LEN($BD$115)&lt;&gt;8,$BD$115,RIGHT($BD$115,4)&amp;" "&amp;MID($BD$115,3,1)&amp;LEFT($BD$115,1))</f>
        <v>2005 Q3</v>
      </c>
      <c r="BE116" t="str">
        <f ca="1">IF(LEN($BE$115)&lt;&gt;8,$BE$115,RIGHT($BE$115,4)&amp;" "&amp;MID($BE$115,3,1)&amp;LEFT($BE$115,1))</f>
        <v>2005 Q2</v>
      </c>
      <c r="BF116" t="str">
        <f ca="1">IF(LEN($BF$115)&lt;&gt;8,$BF$115,RIGHT($BF$115,4)&amp;" "&amp;MID($BF$115,3,1)&amp;LEFT($BF$115,1))</f>
        <v>2005 Q1</v>
      </c>
      <c r="BG116" t="str">
        <f ca="1">IF(LEN($BG$115)&lt;&gt;8,$BG$115,RIGHT($BG$115,4)&amp;" "&amp;MID($BG$115,3,1)&amp;LEFT($BG$115,1))</f>
        <v>2004 Q4</v>
      </c>
      <c r="BH116" t="str">
        <f ca="1">IF(LEN($BH$115)&lt;&gt;8,$BH$115,RIGHT($BH$115,4)&amp;" "&amp;MID($BH$115,3,1)&amp;LEFT($BH$115,1))</f>
        <v>2004 Q3</v>
      </c>
      <c r="BI116" t="str">
        <f ca="1">IF(LEN($BI$115)&lt;&gt;8,$BI$115,RIGHT($BI$115,4)&amp;" "&amp;MID($BI$115,3,1)&amp;LEFT($BI$115,1))</f>
        <v>2004 Q2</v>
      </c>
      <c r="BM116" t="str">
        <f>""</f>
        <v/>
      </c>
      <c r="BN116" t="str">
        <f>""</f>
        <v/>
      </c>
      <c r="BO116" t="str">
        <f>""</f>
        <v/>
      </c>
      <c r="BP116" t="str">
        <f>""</f>
        <v/>
      </c>
      <c r="BQ116" t="str">
        <f>""</f>
        <v/>
      </c>
      <c r="BR116" t="str">
        <f>""</f>
        <v/>
      </c>
      <c r="BS116" t="str">
        <f>""</f>
        <v/>
      </c>
      <c r="BT116" t="str">
        <f>""</f>
        <v/>
      </c>
      <c r="BU116" t="str">
        <f>""</f>
        <v/>
      </c>
      <c r="BV116" t="str">
        <f>""</f>
        <v/>
      </c>
      <c r="BW116" t="str">
        <f>""</f>
        <v/>
      </c>
      <c r="BX116" t="str">
        <f>""</f>
        <v/>
      </c>
      <c r="BY116" t="str">
        <f>""</f>
        <v/>
      </c>
      <c r="BZ116" t="str">
        <f>""</f>
        <v/>
      </c>
      <c r="CA116" t="str">
        <f>""</f>
        <v/>
      </c>
      <c r="CB116" t="str">
        <f>""</f>
        <v/>
      </c>
      <c r="CC116" t="str">
        <f>""</f>
        <v/>
      </c>
      <c r="CD116" t="str">
        <f>""</f>
        <v/>
      </c>
      <c r="CE116" t="str">
        <f>""</f>
        <v/>
      </c>
      <c r="CF116" t="str">
        <f>""</f>
        <v/>
      </c>
      <c r="CG116" t="str">
        <f>""</f>
        <v/>
      </c>
      <c r="CH116" t="str">
        <f>""</f>
        <v/>
      </c>
      <c r="CI116" t="str">
        <f>""</f>
        <v/>
      </c>
      <c r="CJ116" t="str">
        <f>""</f>
        <v/>
      </c>
      <c r="CK116" t="str">
        <f>""</f>
        <v/>
      </c>
      <c r="CL116" t="str">
        <f>""</f>
        <v/>
      </c>
      <c r="CM116" t="str">
        <f>""</f>
        <v/>
      </c>
      <c r="CN116" t="str">
        <f>""</f>
        <v/>
      </c>
      <c r="CO116" t="str">
        <f>""</f>
        <v/>
      </c>
      <c r="CP116" t="str">
        <f>""</f>
        <v/>
      </c>
      <c r="CQ116" t="str">
        <f>""</f>
        <v/>
      </c>
      <c r="CR116" t="str">
        <f>""</f>
        <v/>
      </c>
      <c r="CS116" t="str">
        <f>""</f>
        <v/>
      </c>
      <c r="CT116" t="str">
        <f>""</f>
        <v/>
      </c>
      <c r="CU116" t="str">
        <f>""</f>
        <v/>
      </c>
      <c r="CV116" t="str">
        <f>""</f>
        <v/>
      </c>
      <c r="CW116" t="str">
        <f>""</f>
        <v/>
      </c>
      <c r="CX116" t="str">
        <f>""</f>
        <v/>
      </c>
      <c r="CY116" t="str">
        <f>""</f>
        <v/>
      </c>
      <c r="CZ116" t="str">
        <f>""</f>
        <v/>
      </c>
      <c r="DA116" t="str">
        <f>""</f>
        <v/>
      </c>
      <c r="DB116" t="str">
        <f>""</f>
        <v/>
      </c>
      <c r="DC116" t="str">
        <f>""</f>
        <v/>
      </c>
      <c r="DD116" t="str">
        <f>""</f>
        <v/>
      </c>
      <c r="DE116" t="str">
        <f>""</f>
        <v/>
      </c>
      <c r="DF116" t="str">
        <f>""</f>
        <v/>
      </c>
      <c r="DG116" t="str">
        <f>""</f>
        <v/>
      </c>
      <c r="DH116" t="str">
        <f>""</f>
        <v/>
      </c>
      <c r="DI116" t="str">
        <f>""</f>
        <v/>
      </c>
      <c r="DJ116" t="str">
        <f>""</f>
        <v/>
      </c>
      <c r="DK116" t="str">
        <f>""</f>
        <v/>
      </c>
      <c r="DL116" t="str">
        <f>""</f>
        <v/>
      </c>
      <c r="DM116" t="str">
        <f>""</f>
        <v/>
      </c>
      <c r="DN116" t="str">
        <f>""</f>
        <v/>
      </c>
      <c r="DO116" t="str">
        <f>""</f>
        <v/>
      </c>
      <c r="DP116" t="str">
        <f>""</f>
        <v/>
      </c>
      <c r="DQ116" t="str">
        <f>""</f>
        <v/>
      </c>
      <c r="DR116" t="str">
        <f>""</f>
        <v/>
      </c>
      <c r="DS116" t="str">
        <f>""</f>
        <v/>
      </c>
    </row>
    <row r="117" spans="1:123" x14ac:dyDescent="0.25">
      <c r="A117" t="str">
        <f>"No error found"</f>
        <v>No error found</v>
      </c>
      <c r="B117" t="str">
        <f>""</f>
        <v/>
      </c>
      <c r="C117" t="str">
        <f>""</f>
        <v/>
      </c>
      <c r="D117" t="str">
        <f>""</f>
        <v/>
      </c>
      <c r="E117" t="str">
        <f>""</f>
        <v/>
      </c>
      <c r="BM117" t="str">
        <f>""</f>
        <v/>
      </c>
      <c r="BN117" t="str">
        <f>""</f>
        <v/>
      </c>
      <c r="BO117" t="str">
        <f>""</f>
        <v/>
      </c>
      <c r="BP117" t="str">
        <f>""</f>
        <v/>
      </c>
      <c r="BQ117" t="str">
        <f>""</f>
        <v/>
      </c>
      <c r="BR117" t="str">
        <f>""</f>
        <v/>
      </c>
      <c r="BS117" t="str">
        <f>""</f>
        <v/>
      </c>
      <c r="BT117" t="str">
        <f>""</f>
        <v/>
      </c>
      <c r="BU117" t="str">
        <f>""</f>
        <v/>
      </c>
      <c r="BV117" t="str">
        <f>""</f>
        <v/>
      </c>
      <c r="BW117" t="str">
        <f>""</f>
        <v/>
      </c>
      <c r="BX117" t="str">
        <f>""</f>
        <v/>
      </c>
      <c r="BY117" t="str">
        <f>""</f>
        <v/>
      </c>
      <c r="BZ117" t="str">
        <f>""</f>
        <v/>
      </c>
      <c r="CA117" t="str">
        <f>""</f>
        <v/>
      </c>
      <c r="CB117" t="str">
        <f>""</f>
        <v/>
      </c>
      <c r="CC117" t="str">
        <f>""</f>
        <v/>
      </c>
      <c r="CD117" t="str">
        <f>""</f>
        <v/>
      </c>
      <c r="CE117" t="str">
        <f>""</f>
        <v/>
      </c>
      <c r="CF117" t="str">
        <f>""</f>
        <v/>
      </c>
      <c r="CG117" t="str">
        <f>""</f>
        <v/>
      </c>
      <c r="CH117" t="str">
        <f>""</f>
        <v/>
      </c>
      <c r="CI117" t="str">
        <f>""</f>
        <v/>
      </c>
      <c r="CJ117" t="str">
        <f>""</f>
        <v/>
      </c>
      <c r="CK117" t="str">
        <f>""</f>
        <v/>
      </c>
      <c r="CL117" t="str">
        <f>""</f>
        <v/>
      </c>
      <c r="CM117" t="str">
        <f>""</f>
        <v/>
      </c>
      <c r="CN117" t="str">
        <f>""</f>
        <v/>
      </c>
      <c r="CO117" t="str">
        <f>""</f>
        <v/>
      </c>
      <c r="CP117" t="str">
        <f>""</f>
        <v/>
      </c>
      <c r="CQ117" t="str">
        <f>""</f>
        <v/>
      </c>
      <c r="CR117" t="str">
        <f>""</f>
        <v/>
      </c>
      <c r="CS117" t="str">
        <f>""</f>
        <v/>
      </c>
      <c r="CT117" t="str">
        <f>""</f>
        <v/>
      </c>
      <c r="CU117" t="str">
        <f>""</f>
        <v/>
      </c>
      <c r="CV117" t="str">
        <f>""</f>
        <v/>
      </c>
      <c r="CW117" t="str">
        <f>""</f>
        <v/>
      </c>
      <c r="CX117" t="str">
        <f>""</f>
        <v/>
      </c>
      <c r="CY117" t="str">
        <f>""</f>
        <v/>
      </c>
      <c r="CZ117" t="str">
        <f>""</f>
        <v/>
      </c>
      <c r="DA117" t="str">
        <f>""</f>
        <v/>
      </c>
      <c r="DB117" t="str">
        <f>""</f>
        <v/>
      </c>
      <c r="DC117" t="str">
        <f>""</f>
        <v/>
      </c>
      <c r="DD117" t="str">
        <f>""</f>
        <v/>
      </c>
      <c r="DE117" t="str">
        <f>""</f>
        <v/>
      </c>
      <c r="DF117" t="str">
        <f>""</f>
        <v/>
      </c>
      <c r="DG117" t="str">
        <f>""</f>
        <v/>
      </c>
      <c r="DH117" t="str">
        <f>""</f>
        <v/>
      </c>
      <c r="DI117" t="str">
        <f>""</f>
        <v/>
      </c>
      <c r="DJ117" t="str">
        <f>""</f>
        <v/>
      </c>
      <c r="DK117" t="str">
        <f>""</f>
        <v/>
      </c>
      <c r="DL117" t="str">
        <f>""</f>
        <v/>
      </c>
      <c r="DM117" t="str">
        <f>""</f>
        <v/>
      </c>
      <c r="DN117" t="str">
        <f>""</f>
        <v/>
      </c>
      <c r="DO117" t="str">
        <f>""</f>
        <v/>
      </c>
      <c r="DP117" t="str">
        <f>""</f>
        <v/>
      </c>
      <c r="DQ117" t="str">
        <f>""</f>
        <v/>
      </c>
      <c r="DR117" t="str">
        <f>""</f>
        <v/>
      </c>
      <c r="DS117" t="str">
        <f>""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workbookViewId="0"/>
  </sheetViews>
  <sheetFormatPr defaultRowHeight="15" x14ac:dyDescent="0.25"/>
  <cols>
    <col min="1" max="1" width="9.140625" bestFit="1" customWidth="1"/>
  </cols>
  <sheetData>
    <row r="1" spans="1:1" x14ac:dyDescent="0.25">
      <c r="A1" s="1"/>
    </row>
    <row r="2" spans="1:1" x14ac:dyDescent="0.25">
      <c r="A2" t="s">
        <v>0</v>
      </c>
    </row>
    <row r="3" spans="1:1" x14ac:dyDescent="0.25">
      <c r="A3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1" spans="1:1" x14ac:dyDescent="0.25">
      <c r="A11" t="s">
        <v>7</v>
      </c>
    </row>
    <row r="12" spans="1:1" x14ac:dyDescent="0.25">
      <c r="A12" t="s">
        <v>8</v>
      </c>
    </row>
    <row r="13" spans="1:1" x14ac:dyDescent="0.25">
      <c r="A13" t="s">
        <v>9</v>
      </c>
    </row>
    <row r="14" spans="1:1" x14ac:dyDescent="0.25">
      <c r="A14" t="s">
        <v>10</v>
      </c>
    </row>
    <row r="15" spans="1:1" x14ac:dyDescent="0.25">
      <c r="A15" t="s">
        <v>11</v>
      </c>
    </row>
    <row r="16" spans="1:1" x14ac:dyDescent="0.25">
      <c r="A16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20" spans="1:1" x14ac:dyDescent="0.25">
      <c r="A20" t="s">
        <v>15</v>
      </c>
    </row>
    <row r="21" spans="1:1" x14ac:dyDescent="0.25">
      <c r="A21" t="s">
        <v>16</v>
      </c>
    </row>
    <row r="22" spans="1:1" x14ac:dyDescent="0.25">
      <c r="A22" t="s">
        <v>17</v>
      </c>
    </row>
    <row r="23" spans="1:1" x14ac:dyDescent="0.25">
      <c r="A23" t="s">
        <v>18</v>
      </c>
    </row>
    <row r="24" spans="1:1" x14ac:dyDescent="0.25">
      <c r="A24" t="s">
        <v>19</v>
      </c>
    </row>
    <row r="25" spans="1:1" x14ac:dyDescent="0.25">
      <c r="A25" t="s">
        <v>20</v>
      </c>
    </row>
    <row r="26" spans="1:1" x14ac:dyDescent="0.25">
      <c r="A26" t="s">
        <v>21</v>
      </c>
    </row>
    <row r="27" spans="1:1" x14ac:dyDescent="0.25">
      <c r="A27" t="s">
        <v>22</v>
      </c>
    </row>
    <row r="28" spans="1:1" x14ac:dyDescent="0.25">
      <c r="A28" t="s">
        <v>23</v>
      </c>
    </row>
    <row r="29" spans="1:1" x14ac:dyDescent="0.25">
      <c r="A29" t="s">
        <v>24</v>
      </c>
    </row>
    <row r="30" spans="1:1" x14ac:dyDescent="0.25">
      <c r="A30" t="s">
        <v>25</v>
      </c>
    </row>
    <row r="31" spans="1:1" x14ac:dyDescent="0.25">
      <c r="A31" t="s">
        <v>2</v>
      </c>
    </row>
    <row r="32" spans="1:1" x14ac:dyDescent="0.25">
      <c r="A32" t="s">
        <v>26</v>
      </c>
    </row>
    <row r="33" spans="1:1" x14ac:dyDescent="0.25">
      <c r="A3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BIData</vt:lpstr>
      <vt:lpstr>ReferenceData</vt:lpstr>
      <vt:lpstr>Help-Reference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cb3441</cp:lastModifiedBy>
  <dcterms:created xsi:type="dcterms:W3CDTF">2013-04-03T15:49:21Z</dcterms:created>
  <dcterms:modified xsi:type="dcterms:W3CDTF">2019-03-01T00:21:37Z</dcterms:modified>
</cp:coreProperties>
</file>